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120" windowHeight="11625" activeTab="2"/>
  </bookViews>
  <sheets>
    <sheet name="Форма 1" sheetId="1" r:id="rId1"/>
    <sheet name="Форма 2" sheetId="2" r:id="rId2"/>
    <sheet name="Форма 4" sheetId="3" r:id="rId3"/>
  </sheets>
  <definedNames>
    <definedName name="_xlnm._FilterDatabase" localSheetId="0" hidden="1">'Форма 1'!$A$13:$O$196</definedName>
    <definedName name="_xlnm._FilterDatabase" localSheetId="1" hidden="1">'Форма 2'!$A$13:$G$122</definedName>
    <definedName name="_xlnm.Print_Titles" localSheetId="1">'Форма 2'!$11:$12</definedName>
    <definedName name="_xlnm.Print_Titles" localSheetId="2">'Форма 4'!$8:$10</definedName>
  </definedNames>
  <calcPr fullCalcOnLoad="1" refMode="R1C1"/>
</workbook>
</file>

<file path=xl/sharedStrings.xml><?xml version="1.0" encoding="utf-8"?>
<sst xmlns="http://schemas.openxmlformats.org/spreadsheetml/2006/main" count="1763" uniqueCount="538">
  <si>
    <t>120, 240</t>
  </si>
  <si>
    <t>12</t>
  </si>
  <si>
    <t>Обеспечение детей в возрасте до трех лет из семей, в которых среднедушевой доход семьи не превышает прожиточного минимума, установленного в Удмуртской Республике, по заключению врачей полноценным питанием (кефиром, творогом)</t>
  </si>
  <si>
    <t>Осуществление санаторно-курортного лечения</t>
  </si>
  <si>
    <t>Обеспечение при амбулаторном лечении лекарственными препаратами лиц, для которых соответствующее право гарантировано законодательством Российской Федерации</t>
  </si>
  <si>
    <t>Ведение бухгалтерского учета</t>
  </si>
  <si>
    <t>Сбор, обработка и анализ медико-статистической информации</t>
  </si>
  <si>
    <t>Осуществление патолого-анатомических и судебно-медицинских исследований и экспертиз</t>
  </si>
  <si>
    <t>Обеспечение донорской кровью и (или) ее компонентами</t>
  </si>
  <si>
    <t xml:space="preserve">«Развитие здравоохранения» </t>
  </si>
  <si>
    <t>Министерство здравоохранения Удмуртской Республики</t>
  </si>
  <si>
    <t>Код аналитической программной классификации</t>
  </si>
  <si>
    <t>ГП</t>
  </si>
  <si>
    <t>Пп</t>
  </si>
  <si>
    <t>ОМ</t>
  </si>
  <si>
    <t>М</t>
  </si>
  <si>
    <t>к плану на 1 января отчетного года</t>
  </si>
  <si>
    <t>Кадровое обеспечение системы здравоохранения</t>
  </si>
  <si>
    <t>02</t>
  </si>
  <si>
    <t>Организация на территории Удмуртской Республики диспансеризации граждан</t>
  </si>
  <si>
    <t>Мероприятия по профилактике заболеваний и формированию здорового образа жизни у граждан</t>
  </si>
  <si>
    <t>Социальные гарантии и льготы гражданам</t>
  </si>
  <si>
    <t>04</t>
  </si>
  <si>
    <t>05</t>
  </si>
  <si>
    <t>Оказание паллиативной медицинской помощи в стационарных условиях</t>
  </si>
  <si>
    <t>06</t>
  </si>
  <si>
    <t>08</t>
  </si>
  <si>
    <t>21</t>
  </si>
  <si>
    <t>Оказание специализированной медицинской помощи в стационарных условиях (за исключением высокотехнологичной медицинской помощи)</t>
  </si>
  <si>
    <t>22</t>
  </si>
  <si>
    <t>Оказание первичной специализированной медико-санитарной помощи в амбулаторных условиях</t>
  </si>
  <si>
    <t>23</t>
  </si>
  <si>
    <t>Оказание специализированной медицинской помощи в условиях дневного стационара (за исключением высокотехнологичной медицинской помощи)</t>
  </si>
  <si>
    <t>Содержание детей-сирот, детей, оставшихся без попечения родителей, и детей, находящихся в трудной жизненной ситуации, до достижения ими возраста четырех лет включительно в медицинских организациях</t>
  </si>
  <si>
    <t>01</t>
  </si>
  <si>
    <t>03</t>
  </si>
  <si>
    <t>Отчет об использовании бюджетных ассигнований бюджета Удмуртской Республики на реализацию государственной программы</t>
  </si>
  <si>
    <t xml:space="preserve">Наименование государственной программы </t>
  </si>
  <si>
    <t xml:space="preserve">Ответственный исполнитель государственной программы </t>
  </si>
  <si>
    <t>Наименование государственной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</si>
  <si>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</si>
  <si>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</si>
  <si>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Удмуртской Республики, тыс. рублей</t>
  </si>
  <si>
    <t>Кассовые расходы,             в %</t>
  </si>
  <si>
    <t>ГРБС</t>
  </si>
  <si>
    <t>Рз, Пр</t>
  </si>
  <si>
    <t>ЦС</t>
  </si>
  <si>
    <t>ВР</t>
  </si>
  <si>
    <t>сводная бюджетная роспись, план на 1 января отчетного года</t>
  </si>
  <si>
    <t>Всего</t>
  </si>
  <si>
    <t xml:space="preserve">Министерство здравоохранения Удмуртской Республики </t>
  </si>
  <si>
    <t>Главное управление ветеринарии Удмуртской Республики</t>
  </si>
  <si>
    <t>Профилактика заболеваний и формирование здорового образа жизни. Развитие первичной медико-санитарной помощи</t>
  </si>
  <si>
    <t xml:space="preserve">Предупреждение распространения туберкулеза и совершенствование противотуберкулезной службы в Удмуртской Республике </t>
  </si>
  <si>
    <t>09 09</t>
  </si>
  <si>
    <t xml:space="preserve">0210204710,
0210471
</t>
  </si>
  <si>
    <t>04 05</t>
  </si>
  <si>
    <t>Профилактика, лечение, реабилитация больных диабетом</t>
  </si>
  <si>
    <t>0210400000</t>
  </si>
  <si>
    <t>Расходы на мероприятия по профилактике, лечению, реабилитации больных диабетом</t>
  </si>
  <si>
    <t xml:space="preserve">0210404850,
0210485
</t>
  </si>
  <si>
    <t>Профилактика инфекционных заболеваний в Удмуртской Республике</t>
  </si>
  <si>
    <t>0210600000</t>
  </si>
  <si>
    <t>1</t>
  </si>
  <si>
    <t>Расходы на мероприятия по профилактике инфекционных заболеваний в Удмуртской Республике</t>
  </si>
  <si>
    <t xml:space="preserve">0210604870,
0210487
</t>
  </si>
  <si>
    <t>Профилактика природно-очаговых инфекций в Удмуртской Республике</t>
  </si>
  <si>
    <t>0211000000</t>
  </si>
  <si>
    <t>10</t>
  </si>
  <si>
    <t>Расходы на мероприятия по профилактике природно-очаговых инфекций в Удмуртской Республике</t>
  </si>
  <si>
    <t xml:space="preserve">0211004890,
0210489
</t>
  </si>
  <si>
    <t>Профилактика и лечение инфекций, передаваемых половым путем</t>
  </si>
  <si>
    <t>0211200000</t>
  </si>
  <si>
    <t>Расходы на мероприятия по профилактике и лечению инфекций, передаваемых половым путем</t>
  </si>
  <si>
    <t xml:space="preserve">0211205080,
0210508
</t>
  </si>
  <si>
    <t>Профилактика и лечение ВИЧ-инфекции</t>
  </si>
  <si>
    <t>0211400000</t>
  </si>
  <si>
    <t>14</t>
  </si>
  <si>
    <t>Расходы на мероприятия по профилактике и лечению ВИЧ-инфекции</t>
  </si>
  <si>
    <t xml:space="preserve">0211405090,
0210509
</t>
  </si>
  <si>
    <t>Обеспечение оказания медицинской помощи лицам, замещающим государственные должности Удмуртской Республики, государственные должности государственной гражданской службы Удмуртской Республики, должности в органах местного самоуправления в Удмуртской Республике и должности, не отнесенные к государственным должностям</t>
  </si>
  <si>
    <t>09 02</t>
  </si>
  <si>
    <t>0211600000</t>
  </si>
  <si>
    <t>Расходы на реализацию распоряжения Правительства Удмуртской Республики от 1 февраля 2016 года N 62-р</t>
  </si>
  <si>
    <t xml:space="preserve">0211602950,
0210295
</t>
  </si>
  <si>
    <t>0211700000</t>
  </si>
  <si>
    <t>Оказание государственными учреждениями государственных услуг, выполнение работ, финансовое обеспечение деятельности государственных учреждений</t>
  </si>
  <si>
    <t>0211706770</t>
  </si>
  <si>
    <t>0211800000</t>
  </si>
  <si>
    <t xml:space="preserve">0211806770,
0210280
</t>
  </si>
  <si>
    <t>611, 612</t>
  </si>
  <si>
    <t xml:space="preserve">0211903330,
0211906770,
0210333
</t>
  </si>
  <si>
    <t>Расходы на сохранение социальных гарантий и льгот гражданам пожилого возраста, труженикам тыла, реабилитированным лицам и лицам, признанным пострадавшими от политических репрессий (за исключением расходов на изготовление, ремонт и установку зубных протезов)</t>
  </si>
  <si>
    <t xml:space="preserve">0211903330,
0210333
</t>
  </si>
  <si>
    <t>0211906770</t>
  </si>
  <si>
    <t>Организация мероприятия по осуществлению медицинского освидетельствования на состояние опьянения</t>
  </si>
  <si>
    <t>0212107980</t>
  </si>
  <si>
    <t>Оказание медико-социальных услуг</t>
  </si>
  <si>
    <t>0212200000</t>
  </si>
  <si>
    <t>Организация оказания медико-социальных услуг лицам в состоянии алкогольного опьянения</t>
  </si>
  <si>
    <t xml:space="preserve">0212203420,
0210342
</t>
  </si>
  <si>
    <t>Реализация отдельных полномочий в области лекарственного обеспечения в рамках подпрограммы «Профилактика заболеваний и формирование здорового образа жизни. Развитие первичной медико-санитарной помощи» государственной программы Российской Федерации «Развитие здравоохранения»</t>
  </si>
  <si>
    <t>0212500000</t>
  </si>
  <si>
    <t>Расходы на реализацию отдельных полномочий в области лекарственного обеспечения</t>
  </si>
  <si>
    <t xml:space="preserve">0212551610,
0215161
</t>
  </si>
  <si>
    <t>Совершенствование оказания специализированной, включая  высокотехнологичную,  медицинской помощи, скорой медицинской помощи (в том числе скорой специализированной  медицинской помощи), паллиативной помощи</t>
  </si>
  <si>
    <t>Профилактика, лечение злокачественных новообразований и реабилитация больных онкологическими заболеваниями</t>
  </si>
  <si>
    <t>0220200000</t>
  </si>
  <si>
    <t>Расходы на мероприятия по профилактике, лечению злокачественных новообразований и реабилитации больных онкологическими заболеваниями</t>
  </si>
  <si>
    <t xml:space="preserve">0220204860,
0220486
</t>
  </si>
  <si>
    <t>0901</t>
  </si>
  <si>
    <t>0220300000</t>
  </si>
  <si>
    <t>09 01</t>
  </si>
  <si>
    <t xml:space="preserve">0220302950,
0220295
</t>
  </si>
  <si>
    <t>Оказание высокотехнологичной медицинской помощи, не включенной в базовую программу обязательного медицинского страхования</t>
  </si>
  <si>
    <t>2</t>
  </si>
  <si>
    <t>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</t>
  </si>
  <si>
    <t xml:space="preserve">0220454020
02204R4020
</t>
  </si>
  <si>
    <t>Оказание скорой медицинской, в том числе специализированной, помощи</t>
  </si>
  <si>
    <t>09 04</t>
  </si>
  <si>
    <t>0220500000</t>
  </si>
  <si>
    <t xml:space="preserve">0220506770,
0220285, 4779902,0220292
</t>
  </si>
  <si>
    <t>611, 621</t>
  </si>
  <si>
    <t>Расходы на обеспечение текущей деятельности в сфере установленных функций</t>
  </si>
  <si>
    <t>022 05 03310</t>
  </si>
  <si>
    <t>0220600000</t>
  </si>
  <si>
    <t xml:space="preserve">0220606770,
0220293
</t>
  </si>
  <si>
    <t>0901,0906</t>
  </si>
  <si>
    <t>022080000</t>
  </si>
  <si>
    <t>09 06</t>
  </si>
  <si>
    <t xml:space="preserve">0220806770,
0220298
</t>
  </si>
  <si>
    <t>Расходы на выплаты денежных средств на усиленное питание донорам, безвозмездно сдающим кровь и ее компоненты</t>
  </si>
  <si>
    <t xml:space="preserve">0220803840,
0220384
</t>
  </si>
  <si>
    <t>320, 612</t>
  </si>
  <si>
    <t xml:space="preserve">Укрепление
материально-технической
базы государственных
лечебно-профилактическ
их учреждений
</t>
  </si>
  <si>
    <t>855</t>
  </si>
  <si>
    <t>0221000000</t>
  </si>
  <si>
    <t>612</t>
  </si>
  <si>
    <t>Субсидии
государственным
учреждениям на
укрепление
материально-технической
базы</t>
  </si>
  <si>
    <t>Реализация отдельных мероприятий государственной программы Российской Федерации «Развитие здравоохранения» в рамках подпрограммы «Совершенствование оказания специализирован-ной, включая высокотехнологич-ную, медицинской помощи, скорой, в том числе скорой специализирован-ной, медицинской помощи» государственной программы Российской Федерации «Развитие здравоохранения»</t>
  </si>
  <si>
    <t>0221800000</t>
  </si>
  <si>
    <t>Расходы на реализацию отдельных мероприятий государственной программы Российской Федерации «Развитие здравоохранения»</t>
  </si>
  <si>
    <t>240</t>
  </si>
  <si>
    <t xml:space="preserve">09 01   </t>
  </si>
  <si>
    <t>0222100000</t>
  </si>
  <si>
    <t xml:space="preserve">0222106770,
0220282
</t>
  </si>
  <si>
    <t>110,120,240, 611,850</t>
  </si>
  <si>
    <t>0222200000</t>
  </si>
  <si>
    <t xml:space="preserve">0222206770,
0220283
</t>
  </si>
  <si>
    <t>110,240,611,850</t>
  </si>
  <si>
    <t>09 03</t>
  </si>
  <si>
    <t>0222300000</t>
  </si>
  <si>
    <t xml:space="preserve">0222306770,
0220284
</t>
  </si>
  <si>
    <t>Охрана здоровья матери и ребенка</t>
  </si>
  <si>
    <t>0230100000</t>
  </si>
  <si>
    <t xml:space="preserve">0230106770,
0230294
</t>
  </si>
  <si>
    <t>Меры социальной поддержки многодетным семьям</t>
  </si>
  <si>
    <t>0230400000</t>
  </si>
  <si>
    <t>Расходы на предоставление мер социальной поддержки многодетным семьям со среднедушевым доходом, размер которого не превышает величину прожиточного минимума в Удмуртской Республике, по бесплатной выдаче лекарств, приобретаемых по рецептам врачей (фельдшеров), для детей до достижения ими возраста 6 лет и 6 месяцев</t>
  </si>
  <si>
    <t xml:space="preserve">0230403360,
0230336
</t>
  </si>
  <si>
    <t>612,320,323</t>
  </si>
  <si>
    <t>Расходы на оплату труда внештатных специалистов</t>
  </si>
  <si>
    <t>0230500000</t>
  </si>
  <si>
    <t>Расходы на оплату труда врачей-консультантов, услуг иных внештатных специалистов и организаций</t>
  </si>
  <si>
    <t xml:space="preserve">0230503340,
0230334
</t>
  </si>
  <si>
    <t>Осуществление пренатальной (дородовой) диагностики нарушений развития ребенка, неонатального и аудиологического скрининга</t>
  </si>
  <si>
    <t>0230800000</t>
  </si>
  <si>
    <t>Закупка оборудования и расходных материалов для неонатального скрининга</t>
  </si>
  <si>
    <t xml:space="preserve">0230806530,
0230653
</t>
  </si>
  <si>
    <t>Финансовое обеспечение мероприятий, направленных на проведение пренатальной (дородовой) диагностики нарушений развития ребенка</t>
  </si>
  <si>
    <t xml:space="preserve">0230806540,
0230654
</t>
  </si>
  <si>
    <t>0909,0902</t>
  </si>
  <si>
    <t>0231200000</t>
  </si>
  <si>
    <t>0909</t>
  </si>
  <si>
    <t xml:space="preserve">0231206770,
0230710
</t>
  </si>
  <si>
    <t>Развитие медицинской реабилитации и санаторно-курортного лечения населения, в том числе детей</t>
  </si>
  <si>
    <t>09 05, 10 03</t>
  </si>
  <si>
    <t>0240100000</t>
  </si>
  <si>
    <t>09 05</t>
  </si>
  <si>
    <t xml:space="preserve">0240106770,
0240299,
0240300
</t>
  </si>
  <si>
    <t>Расходы на долечивание граждан в санаторно-курортных учреждениях непосредственно после стационарного лечения</t>
  </si>
  <si>
    <t>10 03</t>
  </si>
  <si>
    <t xml:space="preserve">0240103770,
0240377
</t>
  </si>
  <si>
    <t>320, 323</t>
  </si>
  <si>
    <t>0250100000</t>
  </si>
  <si>
    <t>Расходы на профессиональную подготовку, переподготовку и повышение квалификации кадров</t>
  </si>
  <si>
    <t>07 05</t>
  </si>
  <si>
    <t xml:space="preserve">0250101810,
0250181
</t>
  </si>
  <si>
    <t>612, 240</t>
  </si>
  <si>
    <t xml:space="preserve">0250106770,
0250182
</t>
  </si>
  <si>
    <t>Меры социальной поддержки медицинским работникам</t>
  </si>
  <si>
    <t>0250200000</t>
  </si>
  <si>
    <t>Расходы на осуществление денежных компенсаций расходов по оплате жилых помещений и коммунальных услуг (отопление, освещение) работникам государственных учреждений Удмуртской Республики, проживающим и работающим в сельских населенных пунктах, рабочих поселках и поселках городского типа</t>
  </si>
  <si>
    <t>320, 321</t>
  </si>
  <si>
    <t>5</t>
  </si>
  <si>
    <t>Расходы на осуществление единовременных компенсационных выплат медицинским работникам, осуществляемые в соответствии с Федеральным законом от 29 ноября 2010 года N 326-ФЗ "Об обязательном медицинском страховании в Российской Федерации"</t>
  </si>
  <si>
    <t xml:space="preserve">02502R1360, 
0250351,
5051705
</t>
  </si>
  <si>
    <t>0250251360</t>
  </si>
  <si>
    <t>Совершенствование системы лекарственного обеспечения, в том числе в амбулаторных условиях</t>
  </si>
  <si>
    <t>Обеспечение граждан лекарственными препаратами для лечения заболеваний, включенных в перечень жизнеугрожающих и хронических прогрессирующих редких (орфанных) заболеваний, приводящих к сокращению продолжительности жизни гражданина или инвалидности</t>
  </si>
  <si>
    <t>0260200000</t>
  </si>
  <si>
    <t>Расходы на организацию обеспечения граждан лекарственными препаратами для лечения заболеваний, включенных в перечень жизнеугрожающих и хронических прогрессирующих редких (орфанных) заболеваний, приводящих к сокращению продолжительности жизни граждан или их инвалидности</t>
  </si>
  <si>
    <t xml:space="preserve">0260206520,
0260652
</t>
  </si>
  <si>
    <t>0260300000</t>
  </si>
  <si>
    <t>0260306770</t>
  </si>
  <si>
    <t>Обеспечение лекарственными средствами и изделиями медицинского назначения граждан, относящихся к перечню групп населения и категорий заболеваний, при амбулаторном лечении которых лекарственные средства и медицинские изделия отпускаются по рецептам врачей бесплатно в соответствии с постановлением Правительства РФ от 30.07.1994 № 890</t>
  </si>
  <si>
    <t>0260307910</t>
  </si>
  <si>
    <t>Расходы на организацию услуг по обеспечению лекарственными препаратами групп населения и категорий заболеваний, при амбулаторном лечении которых лекарственные средства и медицинские изделия отпускаются по рецептам врачей бесплатно в соответствии с постановлением Правительства РФ от 30.07.1994 № 890</t>
  </si>
  <si>
    <t>0260307920</t>
  </si>
  <si>
    <t>Создание условий для реализации государственной программы</t>
  </si>
  <si>
    <t>Реализация установленных функций (полномочий) государственного органа</t>
  </si>
  <si>
    <t>0270100000</t>
  </si>
  <si>
    <t>Центральный аппарат</t>
  </si>
  <si>
    <t>Налог на имущество и земельный налог</t>
  </si>
  <si>
    <t>0270200000</t>
  </si>
  <si>
    <t>Расходы на уплату налога на имущество</t>
  </si>
  <si>
    <t xml:space="preserve">0270200620,
0270062
</t>
  </si>
  <si>
    <t>612, 622, 850</t>
  </si>
  <si>
    <t>Расходы на уплату земельного налога</t>
  </si>
  <si>
    <t xml:space="preserve">0270200640,
0270064
</t>
  </si>
  <si>
    <t xml:space="preserve">Исполнение судебных актов, актов иных уполномоченных государственных органов </t>
  </si>
  <si>
    <t>0270300000</t>
  </si>
  <si>
    <t>Расходы на исполнение судебных актов, актов иных уполномоченных государственных органов</t>
  </si>
  <si>
    <t xml:space="preserve">0270300670,
0270067
</t>
  </si>
  <si>
    <t>0270400000</t>
  </si>
  <si>
    <t xml:space="preserve">0270406770,
0270272,
0270070
</t>
  </si>
  <si>
    <t>0270500000</t>
  </si>
  <si>
    <t xml:space="preserve">0270506770,
0270281
</t>
  </si>
  <si>
    <t>0270600000</t>
  </si>
  <si>
    <t xml:space="preserve">0270606770,
0270279
</t>
  </si>
  <si>
    <t>07</t>
  </si>
  <si>
    <t xml:space="preserve">Обеспечение деятельности иных подведомственных учреждений </t>
  </si>
  <si>
    <t>0270700000</t>
  </si>
  <si>
    <t>Расходы на обеспечение деятельности иных подведомственных учреждений</t>
  </si>
  <si>
    <t xml:space="preserve">Централизованные мероприятия в области здравоохранения </t>
  </si>
  <si>
    <t>0270800000</t>
  </si>
  <si>
    <t>Расходы на обеспечение текущей деятельности в сфере установленных функции</t>
  </si>
  <si>
    <t xml:space="preserve">0270803310,
0270331
</t>
  </si>
  <si>
    <t>240, 612</t>
  </si>
  <si>
    <t>09</t>
  </si>
  <si>
    <t>Мероприятия по пожарной безопасности в учреждениях, подведомственных Министерству здравоохранения Удмуртской Республики</t>
  </si>
  <si>
    <t>0270900000</t>
  </si>
  <si>
    <t>Расходы на мероприятия по пожарной безопасности в учреждениях, подведомственных Министерству здравоохранения Удмуртской Республики</t>
  </si>
  <si>
    <t xml:space="preserve">0270905120,
0270512
</t>
  </si>
  <si>
    <t>Расходы за счет доходов от платных услуг, оказываемых государственными казенными учреждениями</t>
  </si>
  <si>
    <t>0271400000</t>
  </si>
  <si>
    <t xml:space="preserve">0271405420,
0270542
</t>
  </si>
  <si>
    <t>Совершенствование системы территориального планирования</t>
  </si>
  <si>
    <t>Обязательное медицинское страхование неработающего населения</t>
  </si>
  <si>
    <t>0280200000</t>
  </si>
  <si>
    <t>Расходы на обязательное медицинское страхование неработающего населения</t>
  </si>
  <si>
    <t xml:space="preserve">0280203490,
0280349
</t>
  </si>
  <si>
    <t>320, 560</t>
  </si>
  <si>
    <t>Лицензирование отдельных видов деятельности в сфере охраны здоровья и лицензионный контроль</t>
  </si>
  <si>
    <t>Осуществление переданных органам государственной власти субъектов Российской Федерации полномочий Российской Федерации в сфере охраны здоровья</t>
  </si>
  <si>
    <t>0290100000</t>
  </si>
  <si>
    <t>Расходы на осуществление переданных органам государственной власти субъектов Российской Федерации в соответствии с частью 1 статьи 15 Федерального закона "Об основах охраны здоровья граждан в Российской Федерации" полномочий Российской Федерации в сфере охраны здоровья</t>
  </si>
  <si>
    <t>0221000680</t>
  </si>
  <si>
    <t>0290159800</t>
  </si>
  <si>
    <t>28</t>
  </si>
  <si>
    <t>Субвенции из федерального бюджета бюджетам субъектов Российской Федерации и бюджету г. Байконура на финансовое обеспечение оказания отдельным категориям граждан социальной услуги по дополнительной бесплатной медицинской помощи в части обеспечения необходимыми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</si>
  <si>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0212854600, 0213093</t>
  </si>
  <si>
    <t>Расходы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</t>
  </si>
  <si>
    <t>0211856730</t>
  </si>
  <si>
    <t>Расходы на реализацию отдельных полномочий в области лекарственного обеспечения за счет средств резервного фонда Правительства Российской Федерации</t>
  </si>
  <si>
    <t>021255161F</t>
  </si>
  <si>
    <t>Расходы на развитие паллиативной медицинской помощи за счет средств резервного фонда Правительства Российской Федерации</t>
  </si>
  <si>
    <t>022065676F</t>
  </si>
  <si>
    <t>0901, 0902</t>
  </si>
  <si>
    <t>0902</t>
  </si>
  <si>
    <t>В</t>
  </si>
  <si>
    <t>Развитие информатизации в здравоохранении</t>
  </si>
  <si>
    <t xml:space="preserve">0220406770,
0220287, 02204R4020
</t>
  </si>
  <si>
    <t>0902, 0909</t>
  </si>
  <si>
    <t>0220406770, 02204R4020</t>
  </si>
  <si>
    <t>0901, 0902, 0909</t>
  </si>
  <si>
    <t>0901, 0909</t>
  </si>
  <si>
    <t>0901, 0909, 1003</t>
  </si>
  <si>
    <t xml:space="preserve">0221853820, 02218R3820,
0225382
</t>
  </si>
  <si>
    <t>240, 310, 612</t>
  </si>
  <si>
    <t>0909, 1003</t>
  </si>
  <si>
    <t xml:space="preserve">0270702860,
0270286, 0270706770
</t>
  </si>
  <si>
    <t>0212800000, 0213093</t>
  </si>
  <si>
    <t>110, 240, 611, 850</t>
  </si>
  <si>
    <t>110, 240, 611</t>
  </si>
  <si>
    <t>110, 240, 612</t>
  </si>
  <si>
    <t>0901, 0902, 0903, 0904, 0905, 0909, 1003</t>
  </si>
  <si>
    <t>310, 320</t>
  </si>
  <si>
    <t>120, 240, 360, 830, 850</t>
  </si>
  <si>
    <t>320, 612, 830, 850</t>
  </si>
  <si>
    <t>110, 240, 320, 611, 850</t>
  </si>
  <si>
    <t>240, 612, 622</t>
  </si>
  <si>
    <t>110, 240</t>
  </si>
  <si>
    <t>0272307670</t>
  </si>
  <si>
    <t>0272300000</t>
  </si>
  <si>
    <t>Подготовка учреждений, подведомственных Министерству здравоохранения Удмуртской Республики, к отопительному сезону, новому учебному году и выполнению требований по лицензированию</t>
  </si>
  <si>
    <t>Расходы на подготовку государственных учреждений Удмуртской Республики к отопительному сезону, новому учебному году и выполнению требований по лицензированию</t>
  </si>
  <si>
    <t>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</si>
  <si>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</si>
  <si>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</si>
  <si>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государственной программы</t>
  </si>
  <si>
    <t>Ответственный исполнитель государственной программы</t>
  </si>
  <si>
    <t>Наименование государственной программы, подпрограммы</t>
  </si>
  <si>
    <t>Источник финансирования</t>
  </si>
  <si>
    <t>Оценка расходов, тыс. рублей</t>
  </si>
  <si>
    <t>Отношение фактических расходов к оценке расходов,  %</t>
  </si>
  <si>
    <t>Оценка расходов (согласно государственной программе)</t>
  </si>
  <si>
    <t>Фактические расходы на отчетную дату</t>
  </si>
  <si>
    <t>бюджет Удмуртской Республики, в том числе</t>
  </si>
  <si>
    <t>субсидии из федерального бюджета</t>
  </si>
  <si>
    <t>субвенции из федерального бюджета</t>
  </si>
  <si>
    <t>Иные межбюджетные трансферты из федерального бюджета</t>
  </si>
  <si>
    <t>субсидии и субвенции из федерального бюджета, планируемые к привлечению</t>
  </si>
  <si>
    <t>Территориальный фонд обязательного медицинского страхования Удмуртской Республики</t>
  </si>
  <si>
    <t>в том числе субвенции из Федерального фонда обязательного медицинского страхования Российской Федерации</t>
  </si>
  <si>
    <t>бюджеты муниципальных образований Удмуртской Республики</t>
  </si>
  <si>
    <t>иные источники</t>
  </si>
  <si>
    <t>всего</t>
  </si>
  <si>
    <t>иные межбюджетные трансферты из федерального бюджета</t>
  </si>
  <si>
    <t>Развитие медицинской реабилитации и санаторно-курортного лечения населения, в том числе  детей</t>
  </si>
  <si>
    <t>Мероприятия по предупреждению и профилактике злоупотребления наркотическими средствами</t>
  </si>
  <si>
    <t>Наименование государственной услуги (работы)</t>
  </si>
  <si>
    <t>Наименование показателя, характеризующего объем государственной услуги (работы)</t>
  </si>
  <si>
    <t>Единица измерения объема государственной услуги (работы)</t>
  </si>
  <si>
    <t>Значение показателя объема государственной услуги (работы)</t>
  </si>
  <si>
    <t>Расходы бюджета Удмуртской Республики на оказание государственной услуги (выполнение работы), тыс. рублей</t>
  </si>
  <si>
    <t>Кассовые расходы в %</t>
  </si>
  <si>
    <t>план</t>
  </si>
  <si>
    <t>факт</t>
  </si>
  <si>
    <t>сводная бюджетная роспись на 1 января отчетного года</t>
  </si>
  <si>
    <t>кассовое исполнение</t>
  </si>
  <si>
    <t>к плану на отчетную дату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</si>
  <si>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</si>
  <si>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Выполнение государственной работы "Проведение диспансеризации"</t>
  </si>
  <si>
    <t>количество человек</t>
  </si>
  <si>
    <t>единица</t>
  </si>
  <si>
    <t>Выполнение государственной работы "Работы по профилактике неинфекционных заболеваний, формированию здорового образа жизни и санитарно-гигиеническому просвещению населения"</t>
  </si>
  <si>
    <t>мероприятие по формированию здорового образа жизни и профилактике заболеваний</t>
  </si>
  <si>
    <t>мероприятия</t>
  </si>
  <si>
    <t>Выполнение государственной работы "Обеспечение мероприятий, направленных на охрану и укрепление здоровья"</t>
  </si>
  <si>
    <t>количество мероприятий</t>
  </si>
  <si>
    <t>штука</t>
  </si>
  <si>
    <t>Выполнение государственной работы "Изготовление, ремонт и установка зубных протезов (за исключением протезов из драгоценных металлов и других дорогостоящих материалов)"</t>
  </si>
  <si>
    <t>количество лиц</t>
  </si>
  <si>
    <t>человек</t>
  </si>
  <si>
    <t>Подпрограмма «Совершенствование оказания специализированной, включая  высокотехнологичную,  медицинской помощи, скорой медицинской помощи (в том числе скорой специализированной  медицинской помощи), паллиативной помощи»</t>
  </si>
  <si>
    <t>Оказание высокотехнологичной медицинской помощи</t>
  </si>
  <si>
    <t>Оказание государственной услуги "Высокотехнологичная медицинская помощь, не включенная в базовую программу обязательного медицинского страхования, по профилю нейрохирургия"</t>
  </si>
  <si>
    <t>число пациентов</t>
  </si>
  <si>
    <t>Оказание государственной услуги "Высокотехнологичная медицинская помощь, не включенная в базовую программу обязательного медицинского страхования, по профилю травматология и ортопедия"</t>
  </si>
  <si>
    <t>Оказание государственной услуги "Высокотехнологичная медицинская помощь, не включенная в базовую программу обязательного медицинского страхования, по профилю онкология"</t>
  </si>
  <si>
    <t>Оказание государственной услуги "Высокотехнологичная медицинская помощь, не включенная в базовую программу обязательного медицинского страхования, по профилю сердечно-сосудистая хирургия"</t>
  </si>
  <si>
    <t>Оказание государственной услуги "Высокотехнологичная медицинская помощь, не включенная в базовую программу обязательного медицинского страхования, по профилю торакальная хирургия"</t>
  </si>
  <si>
    <t>Оказание скорой медицинской, в том числе специализированной помощи</t>
  </si>
  <si>
    <t>Выполнение государственной работы "Оказание медицинской помощи при проведении официальных физкультурных, спортивных и массово-спортивных зрелищных мероприятий в соответствии с распорядительными документами субъекта Российской Федерации"</t>
  </si>
  <si>
    <t>количество выполненных работ</t>
  </si>
  <si>
    <t>единица (час)</t>
  </si>
  <si>
    <t xml:space="preserve">число пациентов </t>
  </si>
  <si>
    <t>Выполнение государственной работы «Обеспечение готовности к своевременному и эффективному оказанию медицинской помощи, ликвидации эпидемических очагов при стихийных бедствиях, авариях, катастрофах и эпидемиях и ликвидация медико-санитарных последствий чрезвычайных ситуаций в Российской Федерации и за рубежом»</t>
  </si>
  <si>
    <t>количество отчетов</t>
  </si>
  <si>
    <t xml:space="preserve">условная единица </t>
  </si>
  <si>
    <t>Оказание государственной услуги "Паллиативная медицинская помощь"</t>
  </si>
  <si>
    <t>количество койко-дней</t>
  </si>
  <si>
    <t>койко-день</t>
  </si>
  <si>
    <t>число посещений</t>
  </si>
  <si>
    <t>условная единица</t>
  </si>
  <si>
    <t>Выполнение государственной работы "Заготовка, хранение, транспортировка и обеспечение безопасности донорской крови и ее компонентов"</t>
  </si>
  <si>
    <t>условная единиц продукта, переработки (в пересчете на 1 литр цельной крови)</t>
  </si>
  <si>
    <t>Оказание государственной услуги "Специализированная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дерматовенерология (в части венерологии)"</t>
  </si>
  <si>
    <t>случай госпитализации</t>
  </si>
  <si>
    <t>Оказание государственной услуги "Специализированная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фтизиатрия"</t>
  </si>
  <si>
    <t>Оказание государственной услуги "Специализированная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психиатрия"</t>
  </si>
  <si>
    <t>Оказание государственной услуги "Специализированная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инфекционные болезни (части синдрома приобретенного иммунодефицита (ВИЧ-инфекции))"</t>
  </si>
  <si>
    <t>Оказание государственной услуги "Первичная медико-санитарная помощь, не включенная в базовую программу обязательного медицинского страхования (первичная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психических расстройствах и расстройствах поведения), по профилю психиатрия"</t>
  </si>
  <si>
    <t>Оказание государственной услуги "Первичная медико-санитарная помощь, не включенная в базовую программу обязательного медицинского страхования (первичная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психических расстройствах и расстройствах поведения), по профилю психиатрия-наркология"</t>
  </si>
  <si>
    <t>Оказание государственной услуги «Первичная медико-санитарная помощь, не включенная в базовую программу обязательного (Первичная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психических расстройствах и расстройствах поведения, по профилю дерматовенерология (в части венерологии))»</t>
  </si>
  <si>
    <t>Оказание государственной услуги «Первичная медико-санитарная помощь, не включенная в базовую программу обязательного медицинского страхования (Первичная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психических расстройствах и расстройствах поведения, по профилю инфекционные болезни (в части синдрома приобретенного иммунодефицита (ВИЧ - инфекции))»</t>
  </si>
  <si>
    <t>Оказание государственной услуги «Первичная медико-санитарная помощь, не включенная в базовую программу обязательного медицинского страхования  (Первичная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психических расстройствах и расстройствах поведения, по профилю фтизиатрия)»</t>
  </si>
  <si>
    <t>Оказание государственной услуги "Первичная медико-санитарная помощь, не включенная в базовую программу обязательного медицинского страхования  (Первичная медико-санитарная помощь в части диагностики и лечения. Профпатология)"</t>
  </si>
  <si>
    <t>Выполнение государственной работы "Психиатрическое освидетельствование"</t>
  </si>
  <si>
    <t>количество освидетельствований</t>
  </si>
  <si>
    <t xml:space="preserve">  Оказание государственной услуги "Первичная медико-санитарная помощь. (Первичная медико-санитарная помощь, оказываемая спортсменам спортивных сборных команд Российской Федерации)"</t>
  </si>
  <si>
    <t>Оказание государственной услуги "Первичная медико-санитарная помощь.  (Проведение углубленных медицинских обследований спортсменов субъекта Российской Федерации)"</t>
  </si>
  <si>
    <t>число спортсменов</t>
  </si>
  <si>
    <t>Выполнение государственной работы "Судебно-психиатрическая экспертиза"</t>
  </si>
  <si>
    <t>количество экспертиз</t>
  </si>
  <si>
    <t>Выполнение государственной работы "Медицинское освидетельствование на состояние опьянения (алкогольного, наркотического или иного токсического)"</t>
  </si>
  <si>
    <t>Оказание государственной услуги "Первичная медико-санитарная помощь, не включенная в базовую программу обязательного медицинского страхования (Пренатальная (дородовая) диагностика нарушений развития ребенка у беременных женщин, неонатальный скрининг на 5 наследственных и врожденных заболеваний и аудиологический скрининг"</t>
  </si>
  <si>
    <t>Оказание государственной услуги "Первичная медико-санитарная помощь, не включенная в базовую программу обязательного медицинского страхования (медицинская помощь, оказываемая врачом-терапевтом участковым цехового участка и иными медицинскими работниками цехового врачебного участка, а также медицинскими работниками здравпунктов (доврачебная))"</t>
  </si>
  <si>
    <t>Оказание государственной услуги «Первичная медико-санитарная помощь, не включенная в базовую программу обязательного медицинского страхования («Первичная медико-санитарная помощь в части диагностики, консультирования. Генетика»)</t>
  </si>
  <si>
    <t xml:space="preserve">число
исследований
</t>
  </si>
  <si>
    <t>Оказание государственной услуги «Первичная медико-санитарная помощь, не включенная в базовую программу обязательного медицинского страхования («Первичная медико-санитарная помощь, в части профилактики»)</t>
  </si>
  <si>
    <t>Оказание государственной услуги «Специализированная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психиатрия в условиях дневного стационара»</t>
  </si>
  <si>
    <t>случай лечения</t>
  </si>
  <si>
    <t>Оказание государственной услуги "Специализированная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фтизиатрия в условиях дневного стационара"</t>
  </si>
  <si>
    <t>Оказание государственной услуги "Специализированная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дерматология (в части венерологии) в условиях дневного стационара"</t>
  </si>
  <si>
    <t>Оказание государственной услуги "Специализированная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инфекционные болезни (части синдрома приобретенного иммунодефицита (ВИЧ-инфекции)) в условиях дневного стационара"</t>
  </si>
  <si>
    <t>Оказание государственной услуги "Специализированная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психиатрия-наркология (в части наркологии) в условиях дневного стационара"</t>
  </si>
  <si>
    <t>Оказание государственной услуги «Специализированная медицинская помощь (за исключением высокотехнологичной медицинской помощи). Специализированная медицинская помощь, оказываемая спортсменам спортивных сборных команд в условиях дневного стационара»</t>
  </si>
  <si>
    <t xml:space="preserve"> 3</t>
  </si>
  <si>
    <t>Подпрограмма «Охрана здоровья матери и ребенка»</t>
  </si>
  <si>
    <t>Оказание государственной услуги "Организация круглосуточного приема, содержания, выхаживания и воспитания детей"</t>
  </si>
  <si>
    <t>Выполнение государственной работы "Обеспечение специальными молочными продуктами детского питания"</t>
  </si>
  <si>
    <t>количество обслуживаемых лиц</t>
  </si>
  <si>
    <t>Подпрограмма «Развитие медицинской реабилитации и санаторно-курортного лечения населения, в том числе детей»</t>
  </si>
  <si>
    <t>Оказание государственной услуги "Санаторно-курортное лечение"</t>
  </si>
  <si>
    <t>Подпрограмма «Кадровое обеспечение системы здравоохранения»</t>
  </si>
  <si>
    <t>Оказание государственной услуги "Реализация дополнительных профессиональных программ (профессиональная переподготовка)"</t>
  </si>
  <si>
    <t>количество обучающихся</t>
  </si>
  <si>
    <t>обучающийся</t>
  </si>
  <si>
    <t>Подпрограмма "Совершенствование системы лекарственного обеспечения, в том числе в амбулаторных условиях"</t>
  </si>
  <si>
    <t>Оказание государственной услуги "Услуги по обеспечению при амбулаторном лечении лекарственными препаратами лиц, для которых соответствующее право гарантировано законодательством Российской Федерации"</t>
  </si>
  <si>
    <t>количество пациентов</t>
  </si>
  <si>
    <t>Подпрограмма «Создание условий для реализации государственной программы»</t>
  </si>
  <si>
    <t>Выполнение государственной работы «Формирование финансовой (бухгалтерской) отчетности бюджетных и автономных учреждений» (условия (формы) оказания работы - электронные носители информации)</t>
  </si>
  <si>
    <t>количество пользователей отчетов</t>
  </si>
  <si>
    <t>Выполнение государственной работы «Формирование финансовой (бухгалтерской) отчетности бюджетных и автономных учреждений» (условия (формы) оказания работы - бумажные носители информации)</t>
  </si>
  <si>
    <t>Выполнение государственной работы «Формирование бюджетной отчетности для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бюджета» (условия (формы) оказания работы - электронные носители информации)</t>
  </si>
  <si>
    <t>Выполнение государственной работы «Формирование бюджетной отчетности для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бюджета» (условия (формы) оказания работы - бумажные носители информации)</t>
  </si>
  <si>
    <t>Выполнение государственной работы «Ведение бухгалтерского учета бюджетными, автономными учреждениями, формирование регистров бухгалтерского учета» (условия (формы) оказания работы - электронные носители информации)</t>
  </si>
  <si>
    <t>Выполнение государственной работы «Ведение бухгалтерского учета бюджетными, автономными  учреждениями, формирование регистров бухгалтерского учета» (условия (формы) оказания работы - бумажные носители информации)</t>
  </si>
  <si>
    <t>Выполнение государственной работы «Ведение бюджетного учета, формирование регистров централизованными бухгалтериями» (условия (формы) оказания работы - электронные носители информации)</t>
  </si>
  <si>
    <t>Выполнение государственной работы «Ведение бюджетного учета, формирование регистров централизованными бухгалтериями» (условия (формы) оказания работы - бумажные носители информации)</t>
  </si>
  <si>
    <t>Выполнение государственной работы  «Ведение информационных ресурсов и баз данных»</t>
  </si>
  <si>
    <t>Выполнение государственной работы "Судебно-медицинская экспертиза"</t>
  </si>
  <si>
    <t>Выполнение государственной работы "Патологическая анатомия"</t>
  </si>
  <si>
    <t>количество исследований</t>
  </si>
  <si>
    <t>количество вскрытий</t>
  </si>
  <si>
    <t>Выполнение государственной работы «Транспортировка тел умерших, не связанная с предоставлением ритуальных услуг»</t>
  </si>
  <si>
    <t xml:space="preserve">Отчет о выполнении сводных показателей государственных заданий на оказание государственных услуг, выполнение государственных  работ </t>
  </si>
  <si>
    <t xml:space="preserve">государственными учреждениями Удмуртской Республики по государственной программе </t>
  </si>
  <si>
    <t>А</t>
  </si>
  <si>
    <t>Оказание государственной услуги "Скорая, в том числе скорая специализированная, медицинская помощь (включая медицинскую эвакуацию), включенная в базовую программу обязательного медицинского страхования, а также оказание медицинской помощи при чрезвычайных ситуациях"</t>
  </si>
  <si>
    <t>Форма 1</t>
  </si>
  <si>
    <t>Форма 2</t>
  </si>
  <si>
    <t xml:space="preserve">Отчет о расходах на реализацию  государственной программы за счет всех источников финансирования </t>
  </si>
  <si>
    <t>Форма 4</t>
  </si>
  <si>
    <t>Всего (за исключением внутренних оборотов)</t>
  </si>
  <si>
    <t>3</t>
  </si>
  <si>
    <t>Оказание государственной услуги "Специали-зированная медицин-ская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 психиатрия-наркология (в части наркологии)"*</t>
  </si>
  <si>
    <t>по состоянию на 01.07.2019 г.</t>
  </si>
  <si>
    <t>сводная бюджетная роспись на 1 июля отчетного года</t>
  </si>
  <si>
    <t>к плану на 1 июля отчетного года</t>
  </si>
  <si>
    <t>кассовое исполнение на 1 июля отчетного года</t>
  </si>
  <si>
    <t>0211808710</t>
  </si>
  <si>
    <t>Расходы на проведение в Удмуртской Республике Года здоровья</t>
  </si>
  <si>
    <t>320, 323, 611, 612</t>
  </si>
  <si>
    <t>240, 320, 323, 612</t>
  </si>
  <si>
    <t>N1</t>
  </si>
  <si>
    <t>Федеральный проект "Развитие системы оказания первичной медико-санитарной помощи"</t>
  </si>
  <si>
    <t>021N100000</t>
  </si>
  <si>
    <t>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</t>
  </si>
  <si>
    <t>021N151910</t>
  </si>
  <si>
    <t>Cоздание и замена фельдшерских, фельдшерско-акушерских пунктов и врачебных амбулаторий для населенных пунктов с численностью населения от 100 до 2000 человек</t>
  </si>
  <si>
    <t>021N151960</t>
  </si>
  <si>
    <t>Закупка авиационных работ органами государственной власти субъектов  РФ в целях оказания медицинской помощи</t>
  </si>
  <si>
    <t>021N155540</t>
  </si>
  <si>
    <t>Расходы в целях развития паллиативной медицинской помощи</t>
  </si>
  <si>
    <t>02206R2010</t>
  </si>
  <si>
    <t>34</t>
  </si>
  <si>
    <t>Реализация мероприятий по предупреждению и борьбе с социально-значимыми инфекционными заболеваниями</t>
  </si>
  <si>
    <t>0223400000</t>
  </si>
  <si>
    <t>Расходы на реализацию мероприятий по предупреждению и борьбе с социально-значимыми инфекционными заболеваниями</t>
  </si>
  <si>
    <t>02234R2020</t>
  </si>
  <si>
    <t>240, 612, 630</t>
  </si>
  <si>
    <t>N2</t>
  </si>
  <si>
    <t>Федеральный проект "Борьба с сердечно-сосудистыми заболеваниями"</t>
  </si>
  <si>
    <t>021N200000</t>
  </si>
  <si>
    <t>Оснащение оборудованием региональных сосудистых центров и сосудистых отделений</t>
  </si>
  <si>
    <t>022N251920</t>
  </si>
  <si>
    <t>N3</t>
  </si>
  <si>
    <t>Федеральный проект "Борьба с онкологическими заболеваниями"</t>
  </si>
  <si>
    <t>022N300000</t>
  </si>
  <si>
    <t>022N304860</t>
  </si>
  <si>
    <t>Переоснащение медицинских организаций, оказывающих медицинскую помощь больным с онкологическими заболеваниями</t>
  </si>
  <si>
    <t>022N351900</t>
  </si>
  <si>
    <t>N4</t>
  </si>
  <si>
    <t>Федеральный проект "Развитие детского здравоохранения, включая создание современной инфраструктуры оказания медицинской помощи детям"</t>
  </si>
  <si>
    <t>023N400000</t>
  </si>
  <si>
    <t>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</t>
  </si>
  <si>
    <t>023N451700</t>
  </si>
  <si>
    <t>6</t>
  </si>
  <si>
    <t>Осуществление организационных мероприятий, связанных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 а также после трансплантации органов и (или) тканей</t>
  </si>
  <si>
    <t>0260400000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</si>
  <si>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 а также после трансплантации органов и (или) тканей</t>
  </si>
  <si>
    <t>0260452160</t>
  </si>
  <si>
    <t>Министерство строительства, жилищно-коммунального хозяйства и энергетики Удмуртской Республики</t>
  </si>
  <si>
    <t>833</t>
  </si>
  <si>
    <t>0271600000</t>
  </si>
  <si>
    <t>02716R3820</t>
  </si>
  <si>
    <t>410</t>
  </si>
  <si>
    <t>Софинансирование отдельных мероприятий государственной программы Российской Федерации «Развитие здравоохранения»</t>
  </si>
  <si>
    <t>16</t>
  </si>
  <si>
    <t>Расходы на софинансирование отдельных мероприятий государственной программы Российской Федерации «Развитие здравоохранения»</t>
  </si>
  <si>
    <t>N7</t>
  </si>
  <si>
    <t>Федеральный проект "Создание единого цифрового контура в здравоохранении на основе единой государственной информационной системы здравоохранения (ЕГИСЗ)"</t>
  </si>
  <si>
    <t>Реализация регионального проекта "Создание единого цифрового контура здравоохранения на основе единой государственной информационной системы в сфере здравоохранения (ЕГИСЗ)"</t>
  </si>
  <si>
    <t>021N121910</t>
  </si>
  <si>
    <t>0902, 0906, 0909</t>
  </si>
  <si>
    <t>0902, 0906, 0910</t>
  </si>
  <si>
    <t>022N308740</t>
  </si>
  <si>
    <t>35</t>
  </si>
  <si>
    <t>0223500680</t>
  </si>
  <si>
    <t>Организация сети центров амбулаторной онкологической помощи для компьютерной и быстрой диагностики основных видов злокачественных новообразований</t>
  </si>
  <si>
    <t>19</t>
  </si>
  <si>
    <t xml:space="preserve">  Расходы на софинансирование государственных программ субъектов Российской Федерации, содержащих мероприятия по развитию материально-технической базы детских поликлиник и детских поликлинических отделений медицинских организаций, за счет средств резервного фонда Правительства Российской Федерации</t>
  </si>
  <si>
    <t>0231900000</t>
  </si>
  <si>
    <t>02319R674F</t>
  </si>
  <si>
    <t>Развитие материально-технической базы детских поликлиник и детских поликлинических отделений медицинских организаций</t>
  </si>
  <si>
    <t>N5</t>
  </si>
  <si>
    <t>025N500000</t>
  </si>
  <si>
    <t xml:space="preserve">025N503820
</t>
  </si>
  <si>
    <t xml:space="preserve"> 0250203820,
0250382
</t>
  </si>
  <si>
    <t xml:space="preserve">025N508760
</t>
  </si>
  <si>
    <t>620? 622</t>
  </si>
  <si>
    <t>Создание акредитационно-симуляционных центров</t>
  </si>
  <si>
    <t>Федеральный проект "Обеспечение медицинских организаций системы здравоохранения квалифицированными кадрами"</t>
  </si>
  <si>
    <t>0260308750</t>
  </si>
  <si>
    <t>Обеспечение лекарственными препаратами больных после перенесенного инфаркта</t>
  </si>
  <si>
    <t xml:space="preserve">0270100030, 0270198710
0270003
</t>
  </si>
  <si>
    <t>110,240 850</t>
  </si>
  <si>
    <t>24</t>
  </si>
  <si>
    <t>0272400000</t>
  </si>
  <si>
    <t>0272407670</t>
  </si>
  <si>
    <t>Проведение экспертизы предложенных методов контроля качества лекарственных средств и качества представленных образцов лекарственных средств с использованием этих методов</t>
  </si>
  <si>
    <t>Оказание государственными учреждениями государственных услуг, выполнение государственных работ, финансовое обеспечение деятельности государственных учреждений</t>
  </si>
  <si>
    <t>02ВN721140</t>
  </si>
  <si>
    <t>02ВN700000, 02В0100680</t>
  </si>
  <si>
    <t>02ВN751140, 02В0100680</t>
  </si>
  <si>
    <t>На реализацию региональных проектов "Создание единого цифрового контура здравоохранения на основе единой государственной информационной системы в сфере здравоохранения (ЕГИСЗ)" сверх установленного уровня софинансирования</t>
  </si>
  <si>
    <t xml:space="preserve"> по состоянию на 01.07.2019 г.</t>
  </si>
  <si>
    <t>Оказание государственной услуги «Скорая, в том числе скорая специализированная,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ситуациях»</t>
  </si>
  <si>
    <t>Оказание государственной услуги "Оказание медицинской (в том числе психиатрической), социальной и психолого-педагогической помощи детям, находящимся в трудной жизненной ситуации" (Амбулаторно)</t>
  </si>
  <si>
    <t>Оказание государственной услуги "Реализация дополнительных профессиональных программ (повышение квалификации)". Очно-заочная форма</t>
  </si>
  <si>
    <t>Оказание государственной услуги "Реализация дополнительных профессиональных программ (повышение квалификации)". Очная форма</t>
  </si>
  <si>
    <t>Выполнение государственной работы "Экспертиза предложенных методов контроля качества лекарственного средства для медицинского применения и качества представленных образцов лекарственного средства для медицинского применения с использованием этих методов"</t>
  </si>
  <si>
    <t>Количество проведенных экспертиз</t>
  </si>
  <si>
    <t>Единица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</si>
</sst>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р_."/>
    <numFmt numFmtId="180" formatCode="0.0"/>
    <numFmt numFmtId="181" formatCode="[$-FC19]d\ mmmm\ yyyy\ &quot;г.&quot;"/>
    <numFmt numFmtId="182" formatCode="000000"/>
    <numFmt numFmtId="183" formatCode="#,##0.000"/>
    <numFmt numFmtId="184" formatCode="#,##0.0000"/>
    <numFmt numFmtId="185" formatCode="#,##0.00000"/>
    <numFmt numFmtId="186" formatCode="###\ ###\ ###\ ###\ ###\ ###\ ##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color indexed="8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4" fontId="42" fillId="19" borderId="1">
      <alignment horizontal="right" vertical="top" shrinkToFit="1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4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28" borderId="8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top"/>
    </xf>
    <xf numFmtId="49" fontId="6" fillId="0" borderId="11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center"/>
    </xf>
    <xf numFmtId="49" fontId="5" fillId="0" borderId="13" xfId="0" applyNumberFormat="1" applyFont="1" applyBorder="1" applyAlignment="1">
      <alignment vertical="top"/>
    </xf>
    <xf numFmtId="0" fontId="8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4" fontId="0" fillId="0" borderId="0" xfId="0" applyNumberFormat="1" applyAlignment="1">
      <alignment/>
    </xf>
    <xf numFmtId="174" fontId="60" fillId="0" borderId="0" xfId="0" applyNumberFormat="1" applyFont="1" applyAlignment="1">
      <alignment horizontal="left" vertical="center"/>
    </xf>
    <xf numFmtId="174" fontId="9" fillId="0" borderId="0" xfId="0" applyNumberFormat="1" applyFont="1" applyAlignment="1">
      <alignment horizontal="left" vertical="center"/>
    </xf>
    <xf numFmtId="174" fontId="10" fillId="0" borderId="0" xfId="0" applyNumberFormat="1" applyFont="1" applyAlignment="1">
      <alignment horizontal="left" vertical="center"/>
    </xf>
    <xf numFmtId="174" fontId="9" fillId="0" borderId="11" xfId="0" applyNumberFormat="1" applyFont="1" applyBorder="1" applyAlignment="1">
      <alignment horizontal="left" vertical="center" wrapText="1"/>
    </xf>
    <xf numFmtId="174" fontId="9" fillId="0" borderId="11" xfId="0" applyNumberFormat="1" applyFont="1" applyBorder="1" applyAlignment="1">
      <alignment horizontal="left" vertical="center" wrapText="1" shrinkToFit="1"/>
    </xf>
    <xf numFmtId="174" fontId="9" fillId="0" borderId="13" xfId="0" applyNumberFormat="1" applyFont="1" applyBorder="1" applyAlignment="1">
      <alignment horizontal="left" vertical="center" wrapText="1" shrinkToFit="1"/>
    </xf>
    <xf numFmtId="174" fontId="0" fillId="0" borderId="0" xfId="0" applyNumberFormat="1" applyAlignment="1">
      <alignment horizontal="left" vertical="center"/>
    </xf>
    <xf numFmtId="174" fontId="10" fillId="0" borderId="0" xfId="0" applyNumberFormat="1" applyFont="1" applyAlignment="1">
      <alignment horizontal="left" vertical="center" wrapText="1"/>
    </xf>
    <xf numFmtId="174" fontId="60" fillId="0" borderId="0" xfId="0" applyNumberFormat="1" applyFont="1" applyAlignment="1">
      <alignment vertical="center"/>
    </xf>
    <xf numFmtId="174" fontId="9" fillId="0" borderId="0" xfId="0" applyNumberFormat="1" applyFont="1" applyAlignment="1">
      <alignment vertical="center"/>
    </xf>
    <xf numFmtId="174" fontId="0" fillId="0" borderId="0" xfId="0" applyNumberFormat="1" applyAlignment="1">
      <alignment vertical="center"/>
    </xf>
    <xf numFmtId="174" fontId="10" fillId="0" borderId="0" xfId="0" applyNumberFormat="1" applyFont="1" applyAlignment="1">
      <alignment vertical="center"/>
    </xf>
    <xf numFmtId="174" fontId="9" fillId="0" borderId="14" xfId="0" applyNumberFormat="1" applyFont="1" applyBorder="1" applyAlignment="1">
      <alignment vertical="center"/>
    </xf>
    <xf numFmtId="174" fontId="9" fillId="0" borderId="11" xfId="0" applyNumberFormat="1" applyFont="1" applyBorder="1" applyAlignment="1">
      <alignment vertical="center" wrapText="1"/>
    </xf>
    <xf numFmtId="174" fontId="9" fillId="0" borderId="12" xfId="0" applyNumberFormat="1" applyFont="1" applyBorder="1" applyAlignment="1">
      <alignment vertical="center"/>
    </xf>
    <xf numFmtId="174" fontId="9" fillId="0" borderId="15" xfId="0" applyNumberFormat="1" applyFont="1" applyBorder="1" applyAlignment="1">
      <alignment vertical="center"/>
    </xf>
    <xf numFmtId="174" fontId="9" fillId="33" borderId="12" xfId="0" applyNumberFormat="1" applyFont="1" applyFill="1" applyBorder="1" applyAlignment="1">
      <alignment vertical="center"/>
    </xf>
    <xf numFmtId="174" fontId="9" fillId="33" borderId="11" xfId="0" applyNumberFormat="1" applyFont="1" applyFill="1" applyBorder="1" applyAlignment="1">
      <alignment vertical="center" wrapText="1"/>
    </xf>
    <xf numFmtId="174" fontId="9" fillId="0" borderId="11" xfId="0" applyNumberFormat="1" applyFont="1" applyBorder="1" applyAlignment="1">
      <alignment horizontal="center" vertical="center" wrapText="1"/>
    </xf>
    <xf numFmtId="174" fontId="9" fillId="0" borderId="16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74" fontId="9" fillId="33" borderId="17" xfId="0" applyNumberFormat="1" applyFont="1" applyFill="1" applyBorder="1" applyAlignment="1">
      <alignment horizontal="center" vertical="center" wrapText="1"/>
    </xf>
    <xf numFmtId="174" fontId="13" fillId="0" borderId="0" xfId="0" applyNumberFormat="1" applyFont="1" applyAlignment="1">
      <alignment horizontal="right" vertical="center"/>
    </xf>
    <xf numFmtId="1" fontId="9" fillId="0" borderId="11" xfId="0" applyNumberFormat="1" applyFont="1" applyBorder="1" applyAlignment="1">
      <alignment horizontal="center" vertical="center" wrapText="1"/>
    </xf>
    <xf numFmtId="1" fontId="9" fillId="0" borderId="18" xfId="0" applyNumberFormat="1" applyFont="1" applyBorder="1" applyAlignment="1">
      <alignment horizontal="center" vertical="center" wrapText="1"/>
    </xf>
    <xf numFmtId="174" fontId="60" fillId="0" borderId="0" xfId="0" applyNumberFormat="1" applyFont="1" applyAlignment="1">
      <alignment horizontal="center" vertical="center"/>
    </xf>
    <xf numFmtId="1" fontId="60" fillId="0" borderId="0" xfId="0" applyNumberFormat="1" applyFont="1" applyAlignment="1">
      <alignment horizontal="center" vertical="center"/>
    </xf>
    <xf numFmtId="174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74" fontId="10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174" fontId="9" fillId="0" borderId="14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17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6" fillId="0" borderId="13" xfId="0" applyNumberFormat="1" applyFont="1" applyBorder="1" applyAlignment="1">
      <alignment vertical="top"/>
    </xf>
    <xf numFmtId="49" fontId="6" fillId="0" borderId="19" xfId="0" applyNumberFormat="1" applyFont="1" applyBorder="1" applyAlignment="1">
      <alignment vertical="top"/>
    </xf>
    <xf numFmtId="49" fontId="6" fillId="0" borderId="16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vertical="top"/>
    </xf>
    <xf numFmtId="49" fontId="8" fillId="0" borderId="11" xfId="0" applyNumberFormat="1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49" fontId="8" fillId="0" borderId="16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74" fontId="11" fillId="0" borderId="0" xfId="0" applyNumberFormat="1" applyFont="1" applyFill="1" applyAlignment="1">
      <alignment horizontal="right" vertical="center"/>
    </xf>
    <xf numFmtId="174" fontId="15" fillId="0" borderId="0" xfId="0" applyNumberFormat="1" applyFont="1" applyFill="1" applyAlignment="1">
      <alignment horizontal="center" vertical="center"/>
    </xf>
    <xf numFmtId="174" fontId="14" fillId="0" borderId="0" xfId="0" applyNumberFormat="1" applyFont="1" applyFill="1" applyAlignment="1">
      <alignment horizontal="center" vertical="center"/>
    </xf>
    <xf numFmtId="174" fontId="11" fillId="0" borderId="11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174" fontId="11" fillId="0" borderId="11" xfId="0" applyNumberFormat="1" applyFont="1" applyFill="1" applyBorder="1" applyAlignment="1">
      <alignment horizontal="right" vertical="center" wrapText="1"/>
    </xf>
    <xf numFmtId="174" fontId="38" fillId="0" borderId="0" xfId="0" applyNumberFormat="1" applyFont="1" applyFill="1" applyAlignment="1">
      <alignment horizontal="right" vertical="center"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4" fontId="11" fillId="0" borderId="0" xfId="0" applyNumberFormat="1" applyFont="1" applyFill="1" applyAlignment="1">
      <alignment horizontal="right" vertical="center"/>
    </xf>
    <xf numFmtId="174" fontId="14" fillId="0" borderId="0" xfId="0" applyNumberFormat="1" applyFont="1" applyFill="1" applyAlignment="1">
      <alignment horizontal="right" vertical="center"/>
    </xf>
    <xf numFmtId="0" fontId="38" fillId="0" borderId="0" xfId="0" applyFont="1" applyFill="1" applyAlignment="1">
      <alignment vertical="center"/>
    </xf>
    <xf numFmtId="49" fontId="15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4" fontId="15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center" vertical="center"/>
    </xf>
    <xf numFmtId="4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3" fontId="11" fillId="0" borderId="11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>
      <alignment horizontal="right" vertical="center" wrapText="1"/>
    </xf>
    <xf numFmtId="49" fontId="38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horizontal="left" vertical="center"/>
    </xf>
    <xf numFmtId="4" fontId="38" fillId="0" borderId="0" xfId="0" applyNumberFormat="1" applyFont="1" applyFill="1" applyAlignment="1">
      <alignment horizontal="right" vertical="center"/>
    </xf>
    <xf numFmtId="49" fontId="38" fillId="0" borderId="0" xfId="0" applyNumberFormat="1" applyFont="1" applyFill="1" applyAlignment="1">
      <alignment vertical="center"/>
    </xf>
    <xf numFmtId="3" fontId="11" fillId="33" borderId="11" xfId="0" applyNumberFormat="1" applyFont="1" applyFill="1" applyBorder="1" applyAlignment="1">
      <alignment horizontal="right" vertical="center" wrapText="1"/>
    </xf>
    <xf numFmtId="49" fontId="5" fillId="33" borderId="11" xfId="0" applyNumberFormat="1" applyFont="1" applyFill="1" applyBorder="1" applyAlignment="1">
      <alignment vertical="top"/>
    </xf>
    <xf numFmtId="0" fontId="8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49" fontId="11" fillId="33" borderId="11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center" vertical="center" wrapText="1"/>
    </xf>
    <xf numFmtId="174" fontId="11" fillId="33" borderId="11" xfId="0" applyNumberFormat="1" applyFont="1" applyFill="1" applyBorder="1" applyAlignment="1">
      <alignment horizontal="right" vertical="center" wrapText="1"/>
    </xf>
    <xf numFmtId="0" fontId="38" fillId="33" borderId="0" xfId="0" applyFont="1" applyFill="1" applyAlignment="1">
      <alignment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174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4" fontId="5" fillId="0" borderId="0" xfId="0" applyNumberFormat="1" applyFont="1" applyAlignment="1">
      <alignment horizontal="center" vertical="center"/>
    </xf>
    <xf numFmtId="174" fontId="5" fillId="0" borderId="11" xfId="0" applyNumberFormat="1" applyFont="1" applyBorder="1" applyAlignment="1">
      <alignment horizontal="center" vertical="center" wrapText="1"/>
    </xf>
    <xf numFmtId="174" fontId="7" fillId="0" borderId="11" xfId="0" applyNumberFormat="1" applyFont="1" applyBorder="1" applyAlignment="1">
      <alignment horizontal="center" vertical="center"/>
    </xf>
    <xf numFmtId="174" fontId="4" fillId="0" borderId="11" xfId="0" applyNumberFormat="1" applyFont="1" applyBorder="1" applyAlignment="1">
      <alignment horizontal="center" vertical="center"/>
    </xf>
    <xf numFmtId="174" fontId="4" fillId="33" borderId="11" xfId="0" applyNumberFormat="1" applyFont="1" applyFill="1" applyBorder="1" applyAlignment="1">
      <alignment horizontal="center" vertical="center"/>
    </xf>
    <xf numFmtId="174" fontId="4" fillId="0" borderId="11" xfId="0" applyNumberFormat="1" applyFont="1" applyFill="1" applyBorder="1" applyAlignment="1">
      <alignment horizontal="center" vertical="center"/>
    </xf>
    <xf numFmtId="174" fontId="4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174" fontId="4" fillId="0" borderId="13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top" wrapText="1"/>
    </xf>
    <xf numFmtId="174" fontId="1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174" fontId="5" fillId="0" borderId="11" xfId="0" applyNumberFormat="1" applyFont="1" applyBorder="1" applyAlignment="1">
      <alignment horizontal="center" vertical="center" wrapText="1"/>
    </xf>
    <xf numFmtId="174" fontId="5" fillId="0" borderId="15" xfId="0" applyNumberFormat="1" applyFont="1" applyBorder="1" applyAlignment="1">
      <alignment horizontal="center" vertical="center" wrapText="1"/>
    </xf>
    <xf numFmtId="174" fontId="5" fillId="0" borderId="20" xfId="0" applyNumberFormat="1" applyFont="1" applyBorder="1" applyAlignment="1">
      <alignment horizontal="center" vertical="center" wrapText="1"/>
    </xf>
    <xf numFmtId="174" fontId="5" fillId="0" borderId="17" xfId="0" applyNumberFormat="1" applyFont="1" applyBorder="1" applyAlignment="1">
      <alignment horizontal="center" vertical="center" wrapText="1"/>
    </xf>
    <xf numFmtId="174" fontId="5" fillId="0" borderId="2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vertical="top"/>
    </xf>
    <xf numFmtId="49" fontId="6" fillId="0" borderId="19" xfId="0" applyNumberFormat="1" applyFont="1" applyBorder="1" applyAlignment="1">
      <alignment vertical="top"/>
    </xf>
    <xf numFmtId="49" fontId="5" fillId="0" borderId="13" xfId="0" applyNumberFormat="1" applyFont="1" applyBorder="1" applyAlignment="1">
      <alignment vertical="top"/>
    </xf>
    <xf numFmtId="49" fontId="5" fillId="0" borderId="16" xfId="0" applyNumberFormat="1" applyFont="1" applyBorder="1" applyAlignment="1">
      <alignment vertical="top"/>
    </xf>
    <xf numFmtId="49" fontId="6" fillId="0" borderId="19" xfId="0" applyNumberFormat="1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49" fontId="16" fillId="0" borderId="13" xfId="0" applyNumberFormat="1" applyFont="1" applyBorder="1" applyAlignment="1">
      <alignment horizontal="center" vertical="top" wrapText="1"/>
    </xf>
    <xf numFmtId="49" fontId="16" fillId="0" borderId="16" xfId="0" applyNumberFormat="1" applyFont="1" applyBorder="1" applyAlignment="1">
      <alignment horizontal="center" vertical="top" wrapText="1"/>
    </xf>
    <xf numFmtId="174" fontId="9" fillId="0" borderId="13" xfId="0" applyNumberFormat="1" applyFont="1" applyBorder="1" applyAlignment="1">
      <alignment horizontal="center" vertical="center"/>
    </xf>
    <xf numFmtId="174" fontId="9" fillId="0" borderId="19" xfId="0" applyNumberFormat="1" applyFont="1" applyBorder="1" applyAlignment="1">
      <alignment horizontal="center" vertical="center"/>
    </xf>
    <xf numFmtId="174" fontId="9" fillId="0" borderId="16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74" fontId="60" fillId="0" borderId="13" xfId="0" applyNumberFormat="1" applyFont="1" applyBorder="1" applyAlignment="1">
      <alignment horizontal="left" vertical="center" wrapText="1"/>
    </xf>
    <xf numFmtId="174" fontId="60" fillId="0" borderId="19" xfId="0" applyNumberFormat="1" applyFont="1" applyBorder="1" applyAlignment="1">
      <alignment horizontal="left" vertical="center" wrapText="1"/>
    </xf>
    <xf numFmtId="174" fontId="60" fillId="0" borderId="16" xfId="0" applyNumberFormat="1" applyFont="1" applyBorder="1" applyAlignment="1">
      <alignment horizontal="left" vertical="center" wrapText="1"/>
    </xf>
    <xf numFmtId="174" fontId="9" fillId="0" borderId="13" xfId="0" applyNumberFormat="1" applyFont="1" applyBorder="1" applyAlignment="1">
      <alignment horizontal="left" vertical="center" wrapText="1"/>
    </xf>
    <xf numFmtId="174" fontId="9" fillId="0" borderId="19" xfId="0" applyNumberFormat="1" applyFont="1" applyBorder="1" applyAlignment="1">
      <alignment horizontal="left" vertical="center" wrapText="1"/>
    </xf>
    <xf numFmtId="174" fontId="9" fillId="0" borderId="16" xfId="0" applyNumberFormat="1" applyFont="1" applyBorder="1" applyAlignment="1">
      <alignment horizontal="left" vertical="center" wrapText="1"/>
    </xf>
    <xf numFmtId="174" fontId="9" fillId="0" borderId="13" xfId="0" applyNumberFormat="1" applyFont="1" applyBorder="1" applyAlignment="1">
      <alignment horizontal="center" vertical="center" wrapText="1"/>
    </xf>
    <xf numFmtId="174" fontId="9" fillId="0" borderId="19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174" fontId="10" fillId="0" borderId="13" xfId="0" applyNumberFormat="1" applyFont="1" applyBorder="1" applyAlignment="1">
      <alignment horizontal="left" vertical="center" wrapText="1"/>
    </xf>
    <xf numFmtId="174" fontId="10" fillId="0" borderId="19" xfId="0" applyNumberFormat="1" applyFont="1" applyBorder="1" applyAlignment="1">
      <alignment horizontal="left" vertical="center" wrapText="1"/>
    </xf>
    <xf numFmtId="174" fontId="9" fillId="0" borderId="16" xfId="0" applyNumberFormat="1" applyFont="1" applyBorder="1" applyAlignment="1">
      <alignment horizontal="center" vertical="center" wrapText="1"/>
    </xf>
    <xf numFmtId="174" fontId="9" fillId="0" borderId="0" xfId="0" applyNumberFormat="1" applyFont="1" applyAlignment="1">
      <alignment horizontal="right"/>
    </xf>
    <xf numFmtId="174" fontId="10" fillId="0" borderId="0" xfId="0" applyNumberFormat="1" applyFont="1" applyAlignment="1">
      <alignment horizontal="center"/>
    </xf>
    <xf numFmtId="174" fontId="10" fillId="33" borderId="0" xfId="0" applyNumberFormat="1" applyFont="1" applyFill="1" applyAlignment="1">
      <alignment horizontal="center"/>
    </xf>
    <xf numFmtId="174" fontId="9" fillId="0" borderId="0" xfId="0" applyNumberFormat="1" applyFont="1" applyAlignment="1">
      <alignment vertical="center"/>
    </xf>
    <xf numFmtId="174" fontId="9" fillId="0" borderId="15" xfId="0" applyNumberFormat="1" applyFont="1" applyBorder="1" applyAlignment="1">
      <alignment horizontal="center" vertical="center" wrapText="1"/>
    </xf>
    <xf numFmtId="174" fontId="9" fillId="0" borderId="20" xfId="0" applyNumberFormat="1" applyFont="1" applyBorder="1" applyAlignment="1">
      <alignment horizontal="center" vertical="center" wrapText="1"/>
    </xf>
    <xf numFmtId="174" fontId="9" fillId="0" borderId="12" xfId="0" applyNumberFormat="1" applyFont="1" applyBorder="1" applyAlignment="1">
      <alignment horizontal="center" vertical="center" wrapText="1"/>
    </xf>
    <xf numFmtId="174" fontId="9" fillId="0" borderId="18" xfId="0" applyNumberFormat="1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left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174" fontId="11" fillId="0" borderId="11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6"/>
  <sheetViews>
    <sheetView zoomScale="106" zoomScaleNormal="106" zoomScalePageLayoutView="0" workbookViewId="0" topLeftCell="A1">
      <pane xSplit="5" ySplit="13" topLeftCell="F88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C10" sqref="C10"/>
    </sheetView>
  </sheetViews>
  <sheetFormatPr defaultColWidth="9.140625" defaultRowHeight="15"/>
  <cols>
    <col min="1" max="1" width="4.421875" style="1" customWidth="1"/>
    <col min="2" max="2" width="4.28125" style="1" customWidth="1"/>
    <col min="3" max="4" width="4.421875" style="1" customWidth="1"/>
    <col min="5" max="5" width="21.421875" style="1" customWidth="1"/>
    <col min="6" max="6" width="16.7109375" style="1" customWidth="1"/>
    <col min="7" max="7" width="9.8515625" style="124" customWidth="1"/>
    <col min="8" max="8" width="10.421875" style="124" customWidth="1"/>
    <col min="9" max="9" width="11.421875" style="124" customWidth="1"/>
    <col min="10" max="10" width="9.57421875" style="124" customWidth="1"/>
    <col min="11" max="12" width="19.140625" style="125" customWidth="1"/>
    <col min="13" max="13" width="16.421875" style="125" customWidth="1"/>
    <col min="14" max="15" width="8.8515625" style="125" customWidth="1"/>
    <col min="16" max="16384" width="9.140625" style="1" customWidth="1"/>
  </cols>
  <sheetData>
    <row r="1" spans="14:15" ht="15.75">
      <c r="N1" s="137" t="s">
        <v>433</v>
      </c>
      <c r="O1" s="137"/>
    </row>
    <row r="5" spans="1:15" ht="12">
      <c r="A5" s="138" t="s">
        <v>36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3" ht="12">
      <c r="A6" s="2"/>
      <c r="B6" s="2"/>
      <c r="C6" s="2"/>
    </row>
    <row r="7" spans="1:15" ht="12">
      <c r="A7" s="138" t="s">
        <v>440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3" ht="12">
      <c r="A8" s="2"/>
      <c r="B8" s="2"/>
      <c r="C8" s="2"/>
    </row>
    <row r="9" spans="1:15" ht="12">
      <c r="A9" s="4"/>
      <c r="B9" s="5" t="s">
        <v>37</v>
      </c>
      <c r="C9" s="5"/>
      <c r="D9" s="5"/>
      <c r="E9" s="5"/>
      <c r="F9" s="5"/>
      <c r="G9" s="126" t="s">
        <v>9</v>
      </c>
      <c r="H9" s="126"/>
      <c r="I9" s="126"/>
      <c r="J9" s="126"/>
      <c r="K9" s="127"/>
      <c r="L9" s="127"/>
      <c r="M9" s="127"/>
      <c r="N9" s="127"/>
      <c r="O9" s="127"/>
    </row>
    <row r="10" spans="1:15" s="3" customFormat="1" ht="12">
      <c r="A10" s="4"/>
      <c r="B10" s="5" t="s">
        <v>38</v>
      </c>
      <c r="C10" s="5"/>
      <c r="D10" s="5"/>
      <c r="E10" s="5"/>
      <c r="F10" s="5"/>
      <c r="G10" s="126" t="s">
        <v>10</v>
      </c>
      <c r="H10" s="126"/>
      <c r="I10" s="126"/>
      <c r="J10" s="126"/>
      <c r="K10" s="127"/>
      <c r="L10" s="127"/>
      <c r="M10" s="127"/>
      <c r="N10" s="127"/>
      <c r="O10" s="127"/>
    </row>
    <row r="11" spans="1:15" ht="12">
      <c r="A11" s="139" t="s">
        <v>11</v>
      </c>
      <c r="B11" s="139"/>
      <c r="C11" s="139"/>
      <c r="D11" s="139"/>
      <c r="E11" s="140" t="s">
        <v>39</v>
      </c>
      <c r="F11" s="140" t="s">
        <v>40</v>
      </c>
      <c r="G11" s="141" t="s">
        <v>41</v>
      </c>
      <c r="H11" s="141"/>
      <c r="I11" s="141"/>
      <c r="J11" s="141"/>
      <c r="K11" s="142" t="s">
        <v>42</v>
      </c>
      <c r="L11" s="142"/>
      <c r="M11" s="142"/>
      <c r="N11" s="143" t="s">
        <v>43</v>
      </c>
      <c r="O11" s="144"/>
    </row>
    <row r="12" spans="1:15" ht="12">
      <c r="A12" s="139"/>
      <c r="B12" s="139"/>
      <c r="C12" s="139"/>
      <c r="D12" s="139"/>
      <c r="E12" s="140"/>
      <c r="F12" s="140"/>
      <c r="G12" s="141"/>
      <c r="H12" s="141"/>
      <c r="I12" s="141"/>
      <c r="J12" s="141"/>
      <c r="K12" s="142"/>
      <c r="L12" s="142"/>
      <c r="M12" s="142"/>
      <c r="N12" s="145"/>
      <c r="O12" s="146"/>
    </row>
    <row r="13" spans="1:15" ht="48">
      <c r="A13" s="6" t="s">
        <v>12</v>
      </c>
      <c r="B13" s="6" t="s">
        <v>13</v>
      </c>
      <c r="C13" s="6" t="s">
        <v>14</v>
      </c>
      <c r="D13" s="6" t="s">
        <v>15</v>
      </c>
      <c r="E13" s="140"/>
      <c r="F13" s="140"/>
      <c r="G13" s="12" t="s">
        <v>44</v>
      </c>
      <c r="H13" s="12" t="s">
        <v>45</v>
      </c>
      <c r="I13" s="12" t="s">
        <v>46</v>
      </c>
      <c r="J13" s="12" t="s">
        <v>47</v>
      </c>
      <c r="K13" s="128" t="s">
        <v>48</v>
      </c>
      <c r="L13" s="128" t="s">
        <v>441</v>
      </c>
      <c r="M13" s="128" t="s">
        <v>443</v>
      </c>
      <c r="N13" s="128" t="s">
        <v>16</v>
      </c>
      <c r="O13" s="128" t="s">
        <v>442</v>
      </c>
    </row>
    <row r="14" spans="1:15" ht="14.25">
      <c r="A14" s="147">
        <v>2</v>
      </c>
      <c r="B14" s="147"/>
      <c r="C14" s="147"/>
      <c r="D14" s="147"/>
      <c r="E14" s="148" t="s">
        <v>9</v>
      </c>
      <c r="F14" s="7" t="s">
        <v>49</v>
      </c>
      <c r="G14" s="23"/>
      <c r="H14" s="23"/>
      <c r="I14" s="23"/>
      <c r="J14" s="10"/>
      <c r="K14" s="129">
        <f>K15+K16+K17</f>
        <v>11305953.799999999</v>
      </c>
      <c r="L14" s="129">
        <f>L15+L16+L17</f>
        <v>12349808.299999999</v>
      </c>
      <c r="M14" s="129">
        <f>M15+M16+M17</f>
        <v>5804296.166720001</v>
      </c>
      <c r="N14" s="129">
        <f>M14/K14*100</f>
        <v>51.33840337044365</v>
      </c>
      <c r="O14" s="129">
        <f>M14/L14*100</f>
        <v>46.99907906036081</v>
      </c>
    </row>
    <row r="15" spans="1:15" ht="45">
      <c r="A15" s="147"/>
      <c r="B15" s="147"/>
      <c r="C15" s="147"/>
      <c r="D15" s="147"/>
      <c r="E15" s="149"/>
      <c r="F15" s="136" t="s">
        <v>50</v>
      </c>
      <c r="G15" s="10">
        <v>855</v>
      </c>
      <c r="H15" s="10"/>
      <c r="I15" s="8"/>
      <c r="J15" s="10"/>
      <c r="K15" s="130">
        <f>K19+K59+K99+K116+K121+K143+K154+K185+K189+K193</f>
        <v>11058820.2</v>
      </c>
      <c r="L15" s="130">
        <f>L19+L59+L99+L116+L121+L143+L154+L185+L189+L193</f>
        <v>12102674.7</v>
      </c>
      <c r="M15" s="130">
        <f>M19+M59+M99+M116+M121+M143+M154+M185+M189+M193</f>
        <v>5803470.496720001</v>
      </c>
      <c r="N15" s="130">
        <f>M15/K15*100</f>
        <v>52.47820646111961</v>
      </c>
      <c r="O15" s="130">
        <f>M15/L15*100</f>
        <v>47.9519663262535</v>
      </c>
    </row>
    <row r="16" spans="1:15" ht="58.5" customHeight="1">
      <c r="A16" s="147"/>
      <c r="B16" s="147"/>
      <c r="C16" s="147"/>
      <c r="D16" s="147"/>
      <c r="E16" s="149"/>
      <c r="F16" s="136" t="s">
        <v>486</v>
      </c>
      <c r="G16" s="10">
        <v>853</v>
      </c>
      <c r="H16" s="10"/>
      <c r="I16" s="8"/>
      <c r="J16" s="10"/>
      <c r="K16" s="130">
        <f>K155</f>
        <v>246913.6</v>
      </c>
      <c r="L16" s="130">
        <f>L155</f>
        <v>246913.6</v>
      </c>
      <c r="M16" s="130">
        <f>M189</f>
        <v>605.67</v>
      </c>
      <c r="N16" s="130">
        <f aca="true" t="shared" si="0" ref="N16:N86">M16/K16*100</f>
        <v>0.24529633037629356</v>
      </c>
      <c r="O16" s="130">
        <v>0</v>
      </c>
    </row>
    <row r="17" spans="1:15" ht="45">
      <c r="A17" s="147"/>
      <c r="B17" s="147"/>
      <c r="C17" s="147"/>
      <c r="D17" s="147"/>
      <c r="E17" s="150"/>
      <c r="F17" s="136" t="s">
        <v>51</v>
      </c>
      <c r="G17" s="10">
        <v>881</v>
      </c>
      <c r="H17" s="10"/>
      <c r="I17" s="8"/>
      <c r="J17" s="10"/>
      <c r="K17" s="130">
        <f>K20</f>
        <v>220</v>
      </c>
      <c r="L17" s="130">
        <f>L20</f>
        <v>220</v>
      </c>
      <c r="M17" s="130">
        <f>M20</f>
        <v>220</v>
      </c>
      <c r="N17" s="130">
        <f t="shared" si="0"/>
        <v>100</v>
      </c>
      <c r="O17" s="130">
        <f aca="true" t="shared" si="1" ref="O17:O86">M17/L17*100</f>
        <v>100</v>
      </c>
    </row>
    <row r="18" spans="1:15" ht="56.25">
      <c r="A18" s="147" t="s">
        <v>18</v>
      </c>
      <c r="B18" s="147">
        <v>1</v>
      </c>
      <c r="C18" s="147"/>
      <c r="D18" s="147"/>
      <c r="E18" s="22" t="s">
        <v>52</v>
      </c>
      <c r="F18" s="136" t="s">
        <v>49</v>
      </c>
      <c r="G18" s="23"/>
      <c r="H18" s="23"/>
      <c r="I18" s="14"/>
      <c r="J18" s="23"/>
      <c r="K18" s="129">
        <f>K19+K20</f>
        <v>410766.30000000005</v>
      </c>
      <c r="L18" s="129">
        <f>L19+L20</f>
        <v>939556.7000000001</v>
      </c>
      <c r="M18" s="129">
        <f>M19+M20</f>
        <v>292083.21036</v>
      </c>
      <c r="N18" s="129">
        <f t="shared" si="0"/>
        <v>71.10690686163885</v>
      </c>
      <c r="O18" s="129">
        <f t="shared" si="1"/>
        <v>31.087342611680597</v>
      </c>
    </row>
    <row r="19" spans="1:15" ht="45">
      <c r="A19" s="147"/>
      <c r="B19" s="147"/>
      <c r="C19" s="147"/>
      <c r="D19" s="147"/>
      <c r="E19" s="22"/>
      <c r="F19" s="136" t="s">
        <v>50</v>
      </c>
      <c r="G19" s="10">
        <v>855</v>
      </c>
      <c r="H19" s="10"/>
      <c r="I19" s="8"/>
      <c r="J19" s="10"/>
      <c r="K19" s="130">
        <f>K22+K24++K26+K28+K30+K32+K34+K36+K38+K41+K42+K45+K46+K48+K51+K56</f>
        <v>410546.30000000005</v>
      </c>
      <c r="L19" s="130">
        <f>L22+L24++L26+L28+L30+L32+L34+L36+L38+L42+L45+L46+L48+L51+L56</f>
        <v>939336.7000000001</v>
      </c>
      <c r="M19" s="130">
        <f>M22+M24++M26+M28+M30+M32+M34+M36+M38+M41+M42+M45+M46+M48+M51+M56</f>
        <v>291863.21036</v>
      </c>
      <c r="N19" s="130">
        <f t="shared" si="0"/>
        <v>71.09142388081442</v>
      </c>
      <c r="O19" s="130">
        <f t="shared" si="1"/>
        <v>31.071202728478507</v>
      </c>
    </row>
    <row r="20" spans="1:15" s="116" customFormat="1" ht="45">
      <c r="A20" s="147"/>
      <c r="B20" s="147"/>
      <c r="C20" s="147"/>
      <c r="D20" s="147"/>
      <c r="E20" s="111"/>
      <c r="F20" s="136" t="s">
        <v>51</v>
      </c>
      <c r="G20" s="113">
        <v>881</v>
      </c>
      <c r="H20" s="113"/>
      <c r="I20" s="122"/>
      <c r="J20" s="113"/>
      <c r="K20" s="131">
        <f>K23</f>
        <v>220</v>
      </c>
      <c r="L20" s="131">
        <f>L23</f>
        <v>220</v>
      </c>
      <c r="M20" s="131">
        <v>220</v>
      </c>
      <c r="N20" s="131">
        <f t="shared" si="0"/>
        <v>100</v>
      </c>
      <c r="O20" s="131">
        <f t="shared" si="1"/>
        <v>100</v>
      </c>
    </row>
    <row r="21" spans="1:15" ht="78.75">
      <c r="A21" s="151" t="s">
        <v>18</v>
      </c>
      <c r="B21" s="151">
        <v>1</v>
      </c>
      <c r="C21" s="151" t="s">
        <v>18</v>
      </c>
      <c r="D21" s="154"/>
      <c r="E21" s="22" t="s">
        <v>53</v>
      </c>
      <c r="F21" s="136" t="s">
        <v>49</v>
      </c>
      <c r="G21" s="10"/>
      <c r="H21" s="10"/>
      <c r="I21" s="8"/>
      <c r="J21" s="10"/>
      <c r="K21" s="130">
        <f>K22+K23</f>
        <v>10272.7</v>
      </c>
      <c r="L21" s="130">
        <f>L22+L23</f>
        <v>10272.7</v>
      </c>
      <c r="M21" s="130">
        <f>M22+M23</f>
        <v>3825.723</v>
      </c>
      <c r="N21" s="130">
        <f t="shared" si="0"/>
        <v>37.24165019907132</v>
      </c>
      <c r="O21" s="130">
        <f t="shared" si="1"/>
        <v>37.24165019907132</v>
      </c>
    </row>
    <row r="22" spans="1:15" ht="45">
      <c r="A22" s="152"/>
      <c r="B22" s="152"/>
      <c r="C22" s="152"/>
      <c r="D22" s="154"/>
      <c r="E22" s="22"/>
      <c r="F22" s="136" t="s">
        <v>50</v>
      </c>
      <c r="G22" s="10">
        <v>855</v>
      </c>
      <c r="H22" s="10" t="s">
        <v>54</v>
      </c>
      <c r="I22" s="11" t="s">
        <v>55</v>
      </c>
      <c r="J22" s="10">
        <v>240</v>
      </c>
      <c r="K22" s="130">
        <v>10052.7</v>
      </c>
      <c r="L22" s="130">
        <v>10052.7</v>
      </c>
      <c r="M22" s="130">
        <v>3605.723</v>
      </c>
      <c r="N22" s="130">
        <f t="shared" si="0"/>
        <v>35.86820456195848</v>
      </c>
      <c r="O22" s="130">
        <f t="shared" si="1"/>
        <v>35.86820456195848</v>
      </c>
    </row>
    <row r="23" spans="1:15" s="116" customFormat="1" ht="45">
      <c r="A23" s="153"/>
      <c r="B23" s="153"/>
      <c r="C23" s="153"/>
      <c r="D23" s="154"/>
      <c r="E23" s="111"/>
      <c r="F23" s="136" t="s">
        <v>51</v>
      </c>
      <c r="G23" s="113">
        <v>881</v>
      </c>
      <c r="H23" s="113" t="s">
        <v>56</v>
      </c>
      <c r="I23" s="114" t="s">
        <v>55</v>
      </c>
      <c r="J23" s="113">
        <v>612</v>
      </c>
      <c r="K23" s="131">
        <v>220</v>
      </c>
      <c r="L23" s="131">
        <v>220</v>
      </c>
      <c r="M23" s="131">
        <v>220</v>
      </c>
      <c r="N23" s="131">
        <f t="shared" si="0"/>
        <v>100</v>
      </c>
      <c r="O23" s="131">
        <f t="shared" si="1"/>
        <v>100</v>
      </c>
    </row>
    <row r="24" spans="1:15" ht="45">
      <c r="A24" s="15" t="s">
        <v>18</v>
      </c>
      <c r="B24" s="15">
        <v>1</v>
      </c>
      <c r="C24" s="15" t="s">
        <v>22</v>
      </c>
      <c r="D24" s="15"/>
      <c r="E24" s="22" t="s">
        <v>57</v>
      </c>
      <c r="F24" s="136" t="s">
        <v>50</v>
      </c>
      <c r="G24" s="10">
        <v>855</v>
      </c>
      <c r="H24" s="10" t="s">
        <v>54</v>
      </c>
      <c r="I24" s="8" t="s">
        <v>58</v>
      </c>
      <c r="J24" s="10"/>
      <c r="K24" s="130">
        <f>K25</f>
        <v>114762.3</v>
      </c>
      <c r="L24" s="130">
        <f>L25</f>
        <v>221612.3</v>
      </c>
      <c r="M24" s="130">
        <f>M25</f>
        <v>91470.118</v>
      </c>
      <c r="N24" s="130">
        <f>M24/K24*100</f>
        <v>79.70397769999381</v>
      </c>
      <c r="O24" s="130">
        <f t="shared" si="1"/>
        <v>41.27483808434821</v>
      </c>
    </row>
    <row r="25" spans="1:15" ht="45">
      <c r="A25" s="15" t="s">
        <v>18</v>
      </c>
      <c r="B25" s="15">
        <v>1</v>
      </c>
      <c r="C25" s="15" t="s">
        <v>22</v>
      </c>
      <c r="D25" s="15" t="s">
        <v>34</v>
      </c>
      <c r="E25" s="22" t="s">
        <v>59</v>
      </c>
      <c r="F25" s="136" t="s">
        <v>50</v>
      </c>
      <c r="G25" s="10">
        <v>855</v>
      </c>
      <c r="H25" s="10" t="s">
        <v>54</v>
      </c>
      <c r="I25" s="11" t="s">
        <v>60</v>
      </c>
      <c r="J25" s="10">
        <v>240</v>
      </c>
      <c r="K25" s="130">
        <v>114762.3</v>
      </c>
      <c r="L25" s="130">
        <v>221612.3</v>
      </c>
      <c r="M25" s="130">
        <v>91470.118</v>
      </c>
      <c r="N25" s="130">
        <f t="shared" si="0"/>
        <v>79.70397769999381</v>
      </c>
      <c r="O25" s="130">
        <f t="shared" si="1"/>
        <v>41.27483808434821</v>
      </c>
    </row>
    <row r="26" spans="1:15" ht="45">
      <c r="A26" s="15" t="s">
        <v>18</v>
      </c>
      <c r="B26" s="15">
        <v>1</v>
      </c>
      <c r="C26" s="15" t="s">
        <v>25</v>
      </c>
      <c r="D26" s="15"/>
      <c r="E26" s="22" t="s">
        <v>61</v>
      </c>
      <c r="F26" s="136" t="s">
        <v>50</v>
      </c>
      <c r="G26" s="10">
        <v>855</v>
      </c>
      <c r="H26" s="10" t="s">
        <v>54</v>
      </c>
      <c r="I26" s="8" t="s">
        <v>62</v>
      </c>
      <c r="J26" s="10"/>
      <c r="K26" s="130">
        <f>K27</f>
        <v>20719</v>
      </c>
      <c r="L26" s="130">
        <f>L27</f>
        <v>79677</v>
      </c>
      <c r="M26" s="130">
        <f>M27</f>
        <v>14311.5</v>
      </c>
      <c r="N26" s="130">
        <f t="shared" si="0"/>
        <v>69.0742796467011</v>
      </c>
      <c r="O26" s="130">
        <f t="shared" si="1"/>
        <v>17.961896155728756</v>
      </c>
    </row>
    <row r="27" spans="1:15" ht="45">
      <c r="A27" s="15" t="s">
        <v>18</v>
      </c>
      <c r="B27" s="15" t="s">
        <v>63</v>
      </c>
      <c r="C27" s="15" t="s">
        <v>25</v>
      </c>
      <c r="D27" s="15" t="s">
        <v>34</v>
      </c>
      <c r="E27" s="22" t="s">
        <v>64</v>
      </c>
      <c r="F27" s="136" t="s">
        <v>50</v>
      </c>
      <c r="G27" s="10">
        <v>855</v>
      </c>
      <c r="H27" s="10" t="s">
        <v>54</v>
      </c>
      <c r="I27" s="11" t="s">
        <v>65</v>
      </c>
      <c r="J27" s="10" t="s">
        <v>238</v>
      </c>
      <c r="K27" s="130">
        <v>20719</v>
      </c>
      <c r="L27" s="130">
        <v>79677</v>
      </c>
      <c r="M27" s="130">
        <v>14311.5</v>
      </c>
      <c r="N27" s="130">
        <f t="shared" si="0"/>
        <v>69.0742796467011</v>
      </c>
      <c r="O27" s="130">
        <f t="shared" si="1"/>
        <v>17.961896155728756</v>
      </c>
    </row>
    <row r="28" spans="1:15" ht="45">
      <c r="A28" s="15" t="s">
        <v>18</v>
      </c>
      <c r="B28" s="15">
        <v>1</v>
      </c>
      <c r="C28" s="15">
        <v>10</v>
      </c>
      <c r="D28" s="15"/>
      <c r="E28" s="22" t="s">
        <v>66</v>
      </c>
      <c r="F28" s="136" t="s">
        <v>50</v>
      </c>
      <c r="G28" s="10">
        <v>855</v>
      </c>
      <c r="H28" s="10" t="s">
        <v>54</v>
      </c>
      <c r="I28" s="8" t="s">
        <v>67</v>
      </c>
      <c r="J28" s="10"/>
      <c r="K28" s="130">
        <f>K29</f>
        <v>15429</v>
      </c>
      <c r="L28" s="130">
        <f>L29</f>
        <v>59915</v>
      </c>
      <c r="M28" s="130">
        <f>M29</f>
        <v>15426.67278</v>
      </c>
      <c r="N28" s="130">
        <f t="shared" si="0"/>
        <v>99.98491658565041</v>
      </c>
      <c r="O28" s="130">
        <f t="shared" si="1"/>
        <v>25.747597062505218</v>
      </c>
    </row>
    <row r="29" spans="1:15" ht="45">
      <c r="A29" s="15" t="s">
        <v>18</v>
      </c>
      <c r="B29" s="15" t="s">
        <v>63</v>
      </c>
      <c r="C29" s="15" t="s">
        <v>68</v>
      </c>
      <c r="D29" s="15" t="s">
        <v>34</v>
      </c>
      <c r="E29" s="22" t="s">
        <v>69</v>
      </c>
      <c r="F29" s="136" t="s">
        <v>50</v>
      </c>
      <c r="G29" s="10">
        <v>855</v>
      </c>
      <c r="H29" s="10" t="s">
        <v>54</v>
      </c>
      <c r="I29" s="11" t="s">
        <v>70</v>
      </c>
      <c r="J29" s="10">
        <v>240</v>
      </c>
      <c r="K29" s="130">
        <v>15429</v>
      </c>
      <c r="L29" s="130">
        <v>59915</v>
      </c>
      <c r="M29" s="130">
        <v>15426.67278</v>
      </c>
      <c r="N29" s="130">
        <f t="shared" si="0"/>
        <v>99.98491658565041</v>
      </c>
      <c r="O29" s="130">
        <f t="shared" si="1"/>
        <v>25.747597062505218</v>
      </c>
    </row>
    <row r="30" spans="1:15" ht="45">
      <c r="A30" s="15" t="s">
        <v>18</v>
      </c>
      <c r="B30" s="15">
        <v>1</v>
      </c>
      <c r="C30" s="15">
        <v>12</v>
      </c>
      <c r="D30" s="15"/>
      <c r="E30" s="22" t="s">
        <v>71</v>
      </c>
      <c r="F30" s="136" t="s">
        <v>50</v>
      </c>
      <c r="G30" s="10">
        <v>855</v>
      </c>
      <c r="H30" s="10" t="s">
        <v>54</v>
      </c>
      <c r="I30" s="8" t="s">
        <v>72</v>
      </c>
      <c r="J30" s="10"/>
      <c r="K30" s="130">
        <f>K31</f>
        <v>499.7</v>
      </c>
      <c r="L30" s="130">
        <f>L31</f>
        <v>1498.9</v>
      </c>
      <c r="M30" s="130">
        <f>M31</f>
        <v>491.207</v>
      </c>
      <c r="N30" s="130">
        <f t="shared" si="0"/>
        <v>98.30038022813689</v>
      </c>
      <c r="O30" s="130">
        <f t="shared" si="1"/>
        <v>32.77116552138234</v>
      </c>
    </row>
    <row r="31" spans="1:15" ht="45">
      <c r="A31" s="15" t="s">
        <v>18</v>
      </c>
      <c r="B31" s="15">
        <v>1</v>
      </c>
      <c r="C31" s="15">
        <v>12</v>
      </c>
      <c r="D31" s="15" t="s">
        <v>34</v>
      </c>
      <c r="E31" s="22" t="s">
        <v>73</v>
      </c>
      <c r="F31" s="136" t="s">
        <v>50</v>
      </c>
      <c r="G31" s="10">
        <v>855</v>
      </c>
      <c r="H31" s="10" t="s">
        <v>54</v>
      </c>
      <c r="I31" s="11" t="s">
        <v>74</v>
      </c>
      <c r="J31" s="10">
        <v>240</v>
      </c>
      <c r="K31" s="130">
        <v>499.7</v>
      </c>
      <c r="L31" s="130">
        <v>1498.9</v>
      </c>
      <c r="M31" s="130">
        <v>491.207</v>
      </c>
      <c r="N31" s="130">
        <f t="shared" si="0"/>
        <v>98.30038022813689</v>
      </c>
      <c r="O31" s="130">
        <f t="shared" si="1"/>
        <v>32.77116552138234</v>
      </c>
    </row>
    <row r="32" spans="1:15" ht="45">
      <c r="A32" s="15" t="s">
        <v>18</v>
      </c>
      <c r="B32" s="15">
        <v>1</v>
      </c>
      <c r="C32" s="15">
        <v>14</v>
      </c>
      <c r="D32" s="15"/>
      <c r="E32" s="22" t="s">
        <v>75</v>
      </c>
      <c r="F32" s="136" t="s">
        <v>50</v>
      </c>
      <c r="G32" s="10">
        <v>855</v>
      </c>
      <c r="H32" s="10" t="s">
        <v>54</v>
      </c>
      <c r="I32" s="8" t="s">
        <v>76</v>
      </c>
      <c r="J32" s="10"/>
      <c r="K32" s="130">
        <f>K33</f>
        <v>1935.3</v>
      </c>
      <c r="L32" s="130">
        <f>L33</f>
        <v>5805.9</v>
      </c>
      <c r="M32" s="130">
        <f>M33</f>
        <v>932.322</v>
      </c>
      <c r="N32" s="130">
        <f t="shared" si="0"/>
        <v>48.174546581925284</v>
      </c>
      <c r="O32" s="130">
        <f t="shared" si="1"/>
        <v>16.058182193975096</v>
      </c>
    </row>
    <row r="33" spans="1:15" ht="45">
      <c r="A33" s="15" t="s">
        <v>18</v>
      </c>
      <c r="B33" s="15" t="s">
        <v>63</v>
      </c>
      <c r="C33" s="15" t="s">
        <v>77</v>
      </c>
      <c r="D33" s="15" t="s">
        <v>34</v>
      </c>
      <c r="E33" s="22" t="s">
        <v>78</v>
      </c>
      <c r="F33" s="136" t="s">
        <v>50</v>
      </c>
      <c r="G33" s="10">
        <v>855</v>
      </c>
      <c r="H33" s="10" t="s">
        <v>54</v>
      </c>
      <c r="I33" s="11" t="s">
        <v>79</v>
      </c>
      <c r="J33" s="10">
        <v>240</v>
      </c>
      <c r="K33" s="130">
        <v>1935.3</v>
      </c>
      <c r="L33" s="130">
        <v>5805.9</v>
      </c>
      <c r="M33" s="130">
        <v>932.322</v>
      </c>
      <c r="N33" s="130">
        <f t="shared" si="0"/>
        <v>48.174546581925284</v>
      </c>
      <c r="O33" s="130">
        <f t="shared" si="1"/>
        <v>16.058182193975096</v>
      </c>
    </row>
    <row r="34" spans="1:15" ht="148.5" customHeight="1">
      <c r="A34" s="15" t="s">
        <v>18</v>
      </c>
      <c r="B34" s="15">
        <v>1</v>
      </c>
      <c r="C34" s="15">
        <v>16</v>
      </c>
      <c r="D34" s="15"/>
      <c r="E34" s="22" t="s">
        <v>80</v>
      </c>
      <c r="F34" s="136" t="s">
        <v>50</v>
      </c>
      <c r="G34" s="10">
        <v>855</v>
      </c>
      <c r="H34" s="10" t="s">
        <v>81</v>
      </c>
      <c r="I34" s="8" t="s">
        <v>82</v>
      </c>
      <c r="J34" s="12"/>
      <c r="K34" s="130">
        <f>K35</f>
        <v>3778.6</v>
      </c>
      <c r="L34" s="130">
        <f>L35</f>
        <v>7547.2</v>
      </c>
      <c r="M34" s="130">
        <f>M35</f>
        <v>7547.2</v>
      </c>
      <c r="N34" s="130">
        <f t="shared" si="0"/>
        <v>199.73535171756737</v>
      </c>
      <c r="O34" s="130">
        <f t="shared" si="1"/>
        <v>100</v>
      </c>
    </row>
    <row r="35" spans="1:15" ht="56.25">
      <c r="A35" s="15" t="s">
        <v>18</v>
      </c>
      <c r="B35" s="15">
        <v>1</v>
      </c>
      <c r="C35" s="15">
        <v>16</v>
      </c>
      <c r="D35" s="15" t="s">
        <v>34</v>
      </c>
      <c r="E35" s="22" t="s">
        <v>83</v>
      </c>
      <c r="F35" s="136" t="s">
        <v>50</v>
      </c>
      <c r="G35" s="10">
        <v>855</v>
      </c>
      <c r="H35" s="10" t="s">
        <v>81</v>
      </c>
      <c r="I35" s="11" t="s">
        <v>84</v>
      </c>
      <c r="J35" s="12">
        <v>612</v>
      </c>
      <c r="K35" s="130">
        <v>3778.6</v>
      </c>
      <c r="L35" s="130">
        <v>7547.2</v>
      </c>
      <c r="M35" s="130">
        <v>7547.2</v>
      </c>
      <c r="N35" s="130">
        <f t="shared" si="0"/>
        <v>199.73535171756737</v>
      </c>
      <c r="O35" s="130">
        <f t="shared" si="1"/>
        <v>100</v>
      </c>
    </row>
    <row r="36" spans="1:15" ht="45">
      <c r="A36" s="15" t="s">
        <v>18</v>
      </c>
      <c r="B36" s="15">
        <v>1</v>
      </c>
      <c r="C36" s="15">
        <v>17</v>
      </c>
      <c r="D36" s="15"/>
      <c r="E36" s="22" t="s">
        <v>19</v>
      </c>
      <c r="F36" s="136" t="s">
        <v>50</v>
      </c>
      <c r="G36" s="10">
        <v>855</v>
      </c>
      <c r="H36" s="10" t="s">
        <v>81</v>
      </c>
      <c r="I36" s="8" t="s">
        <v>85</v>
      </c>
      <c r="J36" s="12"/>
      <c r="K36" s="130">
        <f>K37</f>
        <v>3618.9</v>
      </c>
      <c r="L36" s="130">
        <f>L37</f>
        <v>5331.1</v>
      </c>
      <c r="M36" s="130">
        <f>M37</f>
        <v>2415.75</v>
      </c>
      <c r="N36" s="130">
        <f t="shared" si="0"/>
        <v>66.75370969079002</v>
      </c>
      <c r="O36" s="130">
        <f t="shared" si="1"/>
        <v>45.31428785804055</v>
      </c>
    </row>
    <row r="37" spans="1:15" ht="90">
      <c r="A37" s="15" t="s">
        <v>18</v>
      </c>
      <c r="B37" s="15">
        <v>1</v>
      </c>
      <c r="C37" s="15">
        <v>17</v>
      </c>
      <c r="D37" s="15" t="s">
        <v>18</v>
      </c>
      <c r="E37" s="22" t="s">
        <v>86</v>
      </c>
      <c r="F37" s="136" t="s">
        <v>50</v>
      </c>
      <c r="G37" s="10">
        <v>855</v>
      </c>
      <c r="H37" s="10" t="s">
        <v>81</v>
      </c>
      <c r="I37" s="8" t="s">
        <v>87</v>
      </c>
      <c r="J37" s="12">
        <v>611</v>
      </c>
      <c r="K37" s="130">
        <v>3618.9</v>
      </c>
      <c r="L37" s="130">
        <v>5331.1</v>
      </c>
      <c r="M37" s="130">
        <v>2415.75</v>
      </c>
      <c r="N37" s="130">
        <f t="shared" si="0"/>
        <v>66.75370969079002</v>
      </c>
      <c r="O37" s="130">
        <f t="shared" si="1"/>
        <v>45.31428785804055</v>
      </c>
    </row>
    <row r="38" spans="1:15" ht="45">
      <c r="A38" s="15" t="s">
        <v>18</v>
      </c>
      <c r="B38" s="15">
        <v>1</v>
      </c>
      <c r="C38" s="15">
        <v>18</v>
      </c>
      <c r="D38" s="15"/>
      <c r="E38" s="22" t="s">
        <v>20</v>
      </c>
      <c r="F38" s="136" t="s">
        <v>50</v>
      </c>
      <c r="G38" s="10">
        <v>855</v>
      </c>
      <c r="H38" s="10" t="s">
        <v>273</v>
      </c>
      <c r="I38" s="8" t="s">
        <v>88</v>
      </c>
      <c r="J38" s="12"/>
      <c r="K38" s="130">
        <f>K39+K40+K41</f>
        <v>20848</v>
      </c>
      <c r="L38" s="130">
        <f>L39+L40+L41</f>
        <v>26505.2</v>
      </c>
      <c r="M38" s="130">
        <f>M39+M40</f>
        <v>12251.5</v>
      </c>
      <c r="N38" s="130">
        <f t="shared" si="0"/>
        <v>58.76582885648504</v>
      </c>
      <c r="O38" s="130">
        <f t="shared" si="1"/>
        <v>46.22300529707378</v>
      </c>
    </row>
    <row r="39" spans="1:15" ht="71.25" customHeight="1">
      <c r="A39" s="15" t="s">
        <v>18</v>
      </c>
      <c r="B39" s="15">
        <v>1</v>
      </c>
      <c r="C39" s="15">
        <v>18</v>
      </c>
      <c r="D39" s="15" t="s">
        <v>34</v>
      </c>
      <c r="E39" s="22" t="s">
        <v>86</v>
      </c>
      <c r="F39" s="136" t="s">
        <v>50</v>
      </c>
      <c r="G39" s="10">
        <v>855</v>
      </c>
      <c r="H39" s="10" t="s">
        <v>54</v>
      </c>
      <c r="I39" s="11" t="s">
        <v>89</v>
      </c>
      <c r="J39" s="12" t="s">
        <v>90</v>
      </c>
      <c r="K39" s="130">
        <v>20848</v>
      </c>
      <c r="L39" s="130">
        <v>20055.2</v>
      </c>
      <c r="M39" s="130">
        <v>12251.5</v>
      </c>
      <c r="N39" s="130">
        <f t="shared" si="0"/>
        <v>58.76582885648504</v>
      </c>
      <c r="O39" s="130">
        <f t="shared" si="1"/>
        <v>61.08889465076389</v>
      </c>
    </row>
    <row r="40" spans="1:15" s="75" customFormat="1" ht="112.5">
      <c r="A40" s="71" t="s">
        <v>18</v>
      </c>
      <c r="B40" s="71">
        <v>2</v>
      </c>
      <c r="C40" s="71">
        <v>18</v>
      </c>
      <c r="D40" s="71" t="s">
        <v>35</v>
      </c>
      <c r="E40" s="22" t="s">
        <v>262</v>
      </c>
      <c r="F40" s="136" t="s">
        <v>50</v>
      </c>
      <c r="G40" s="72" t="s">
        <v>135</v>
      </c>
      <c r="H40" s="72" t="s">
        <v>54</v>
      </c>
      <c r="I40" s="73" t="s">
        <v>263</v>
      </c>
      <c r="J40" s="74" t="s">
        <v>142</v>
      </c>
      <c r="K40" s="132">
        <v>0</v>
      </c>
      <c r="L40" s="132">
        <v>0</v>
      </c>
      <c r="M40" s="132">
        <v>0</v>
      </c>
      <c r="N40" s="132">
        <v>0</v>
      </c>
      <c r="O40" s="132">
        <v>0</v>
      </c>
    </row>
    <row r="41" spans="1:15" s="75" customFormat="1" ht="45">
      <c r="A41" s="71" t="s">
        <v>18</v>
      </c>
      <c r="B41" s="71">
        <v>2</v>
      </c>
      <c r="C41" s="71">
        <v>18</v>
      </c>
      <c r="D41" s="71" t="s">
        <v>22</v>
      </c>
      <c r="E41" s="22" t="s">
        <v>445</v>
      </c>
      <c r="F41" s="136" t="s">
        <v>50</v>
      </c>
      <c r="G41" s="72">
        <v>855</v>
      </c>
      <c r="H41" s="72" t="s">
        <v>54</v>
      </c>
      <c r="I41" s="73" t="s">
        <v>444</v>
      </c>
      <c r="J41" s="74">
        <v>612</v>
      </c>
      <c r="K41" s="132">
        <v>0</v>
      </c>
      <c r="L41" s="132">
        <v>6450</v>
      </c>
      <c r="M41" s="132">
        <v>0</v>
      </c>
      <c r="N41" s="132">
        <v>0</v>
      </c>
      <c r="O41" s="132">
        <v>0</v>
      </c>
    </row>
    <row r="42" spans="1:15" ht="48">
      <c r="A42" s="15" t="s">
        <v>18</v>
      </c>
      <c r="B42" s="15">
        <v>1</v>
      </c>
      <c r="C42" s="15">
        <v>19</v>
      </c>
      <c r="D42" s="15"/>
      <c r="E42" s="22" t="s">
        <v>21</v>
      </c>
      <c r="F42" s="136" t="s">
        <v>50</v>
      </c>
      <c r="G42" s="10">
        <v>855</v>
      </c>
      <c r="H42" s="10" t="s">
        <v>54</v>
      </c>
      <c r="I42" s="11" t="s">
        <v>91</v>
      </c>
      <c r="J42" s="12" t="s">
        <v>446</v>
      </c>
      <c r="K42" s="130">
        <f>K43+K44</f>
        <v>11839.2</v>
      </c>
      <c r="L42" s="130">
        <f>L43+L44</f>
        <v>11839.2</v>
      </c>
      <c r="M42" s="130">
        <f>M43+M44</f>
        <v>7759.110000000001</v>
      </c>
      <c r="N42" s="130">
        <f t="shared" si="0"/>
        <v>65.53745185485505</v>
      </c>
      <c r="O42" s="130">
        <f t="shared" si="1"/>
        <v>65.53745185485505</v>
      </c>
    </row>
    <row r="43" spans="1:15" ht="123.75">
      <c r="A43" s="15" t="s">
        <v>18</v>
      </c>
      <c r="B43" s="15">
        <v>1</v>
      </c>
      <c r="C43" s="15">
        <v>19</v>
      </c>
      <c r="D43" s="15" t="s">
        <v>34</v>
      </c>
      <c r="E43" s="22" t="s">
        <v>92</v>
      </c>
      <c r="F43" s="136" t="s">
        <v>50</v>
      </c>
      <c r="G43" s="10">
        <v>855</v>
      </c>
      <c r="H43" s="10" t="s">
        <v>54</v>
      </c>
      <c r="I43" s="11" t="s">
        <v>93</v>
      </c>
      <c r="J43" s="12" t="s">
        <v>447</v>
      </c>
      <c r="K43" s="130">
        <f>4.6+7118.6</f>
        <v>7123.200000000001</v>
      </c>
      <c r="L43" s="130">
        <f>4.6+7118.6</f>
        <v>7123.200000000001</v>
      </c>
      <c r="M43" s="130">
        <v>5079.75</v>
      </c>
      <c r="N43" s="130">
        <f t="shared" si="0"/>
        <v>71.31275269541779</v>
      </c>
      <c r="O43" s="130">
        <f t="shared" si="1"/>
        <v>71.31275269541779</v>
      </c>
    </row>
    <row r="44" spans="1:15" ht="90">
      <c r="A44" s="15" t="s">
        <v>18</v>
      </c>
      <c r="B44" s="15">
        <v>1</v>
      </c>
      <c r="C44" s="15">
        <v>19</v>
      </c>
      <c r="D44" s="15" t="s">
        <v>18</v>
      </c>
      <c r="E44" s="22" t="s">
        <v>86</v>
      </c>
      <c r="F44" s="136" t="s">
        <v>50</v>
      </c>
      <c r="G44" s="10">
        <v>855</v>
      </c>
      <c r="H44" s="10" t="s">
        <v>54</v>
      </c>
      <c r="I44" s="11" t="s">
        <v>94</v>
      </c>
      <c r="J44" s="12" t="s">
        <v>122</v>
      </c>
      <c r="K44" s="130">
        <f>4536+180</f>
        <v>4716</v>
      </c>
      <c r="L44" s="130">
        <f>4536+180</f>
        <v>4716</v>
      </c>
      <c r="M44" s="130">
        <v>2679.36</v>
      </c>
      <c r="N44" s="130">
        <f t="shared" si="0"/>
        <v>56.81424936386769</v>
      </c>
      <c r="O44" s="130">
        <f t="shared" si="1"/>
        <v>56.81424936386769</v>
      </c>
    </row>
    <row r="45" spans="1:15" s="116" customFormat="1" ht="56.25">
      <c r="A45" s="110" t="s">
        <v>18</v>
      </c>
      <c r="B45" s="110">
        <v>1</v>
      </c>
      <c r="C45" s="110" t="s">
        <v>27</v>
      </c>
      <c r="D45" s="110"/>
      <c r="E45" s="111" t="s">
        <v>95</v>
      </c>
      <c r="F45" s="136" t="s">
        <v>10</v>
      </c>
      <c r="G45" s="113">
        <v>855</v>
      </c>
      <c r="H45" s="113" t="s">
        <v>54</v>
      </c>
      <c r="I45" s="114" t="s">
        <v>96</v>
      </c>
      <c r="J45" s="115">
        <v>612</v>
      </c>
      <c r="K45" s="131">
        <v>0</v>
      </c>
      <c r="L45" s="131">
        <v>0</v>
      </c>
      <c r="M45" s="131">
        <v>0</v>
      </c>
      <c r="N45" s="131">
        <v>0</v>
      </c>
      <c r="O45" s="131">
        <v>0</v>
      </c>
    </row>
    <row r="46" spans="1:15" ht="45">
      <c r="A46" s="15" t="s">
        <v>18</v>
      </c>
      <c r="B46" s="15">
        <v>1</v>
      </c>
      <c r="C46" s="15">
        <v>22</v>
      </c>
      <c r="D46" s="16"/>
      <c r="E46" s="22" t="s">
        <v>97</v>
      </c>
      <c r="F46" s="136" t="s">
        <v>50</v>
      </c>
      <c r="G46" s="10">
        <v>855</v>
      </c>
      <c r="H46" s="10" t="s">
        <v>54</v>
      </c>
      <c r="I46" s="8" t="s">
        <v>98</v>
      </c>
      <c r="J46" s="12"/>
      <c r="K46" s="130">
        <f>K47</f>
        <v>50.3</v>
      </c>
      <c r="L46" s="130">
        <f>L47</f>
        <v>150.7</v>
      </c>
      <c r="M46" s="130">
        <f>M47</f>
        <v>73.756</v>
      </c>
      <c r="N46" s="130">
        <f>M46/K46*100</f>
        <v>146.63220675944336</v>
      </c>
      <c r="O46" s="130">
        <f t="shared" si="1"/>
        <v>48.9422694094227</v>
      </c>
    </row>
    <row r="47" spans="1:15" s="75" customFormat="1" ht="45">
      <c r="A47" s="71" t="s">
        <v>18</v>
      </c>
      <c r="B47" s="71">
        <v>1</v>
      </c>
      <c r="C47" s="71">
        <v>22</v>
      </c>
      <c r="D47" s="71" t="s">
        <v>34</v>
      </c>
      <c r="E47" s="22" t="s">
        <v>99</v>
      </c>
      <c r="F47" s="136" t="s">
        <v>50</v>
      </c>
      <c r="G47" s="72">
        <v>855</v>
      </c>
      <c r="H47" s="72" t="s">
        <v>54</v>
      </c>
      <c r="I47" s="73" t="s">
        <v>100</v>
      </c>
      <c r="J47" s="74">
        <v>612</v>
      </c>
      <c r="K47" s="132">
        <v>50.3</v>
      </c>
      <c r="L47" s="132">
        <v>150.7</v>
      </c>
      <c r="M47" s="132">
        <v>73.756</v>
      </c>
      <c r="N47" s="130">
        <f>M47/K47*100</f>
        <v>146.63220675944336</v>
      </c>
      <c r="O47" s="132">
        <f t="shared" si="1"/>
        <v>48.9422694094227</v>
      </c>
    </row>
    <row r="48" spans="1:15" ht="135">
      <c r="A48" s="15" t="s">
        <v>18</v>
      </c>
      <c r="B48" s="15">
        <v>1</v>
      </c>
      <c r="C48" s="15">
        <v>25</v>
      </c>
      <c r="D48" s="15"/>
      <c r="E48" s="22" t="s">
        <v>101</v>
      </c>
      <c r="F48" s="136" t="s">
        <v>10</v>
      </c>
      <c r="G48" s="12">
        <v>855</v>
      </c>
      <c r="H48" s="12" t="s">
        <v>81</v>
      </c>
      <c r="I48" s="11" t="s">
        <v>102</v>
      </c>
      <c r="J48" s="10"/>
      <c r="K48" s="133">
        <f>K49</f>
        <v>79471.2</v>
      </c>
      <c r="L48" s="133">
        <f>L49</f>
        <v>79471.2</v>
      </c>
      <c r="M48" s="133">
        <f>M49+M50</f>
        <v>51506.16158</v>
      </c>
      <c r="N48" s="130">
        <f>M48/K48*100</f>
        <v>64.81110336826423</v>
      </c>
      <c r="O48" s="130">
        <f t="shared" si="1"/>
        <v>64.81110336826423</v>
      </c>
    </row>
    <row r="49" spans="1:15" ht="45">
      <c r="A49" s="15" t="s">
        <v>18</v>
      </c>
      <c r="B49" s="15">
        <v>1</v>
      </c>
      <c r="C49" s="15">
        <v>25</v>
      </c>
      <c r="D49" s="15" t="s">
        <v>34</v>
      </c>
      <c r="E49" s="22" t="s">
        <v>103</v>
      </c>
      <c r="F49" s="136" t="s">
        <v>10</v>
      </c>
      <c r="G49" s="12">
        <v>855</v>
      </c>
      <c r="H49" s="12" t="s">
        <v>81</v>
      </c>
      <c r="I49" s="11" t="s">
        <v>104</v>
      </c>
      <c r="J49" s="10">
        <v>320.323</v>
      </c>
      <c r="K49" s="133">
        <v>79471.2</v>
      </c>
      <c r="L49" s="133">
        <v>79471.2</v>
      </c>
      <c r="M49" s="133">
        <v>51506.16158</v>
      </c>
      <c r="N49" s="130">
        <f t="shared" si="0"/>
        <v>64.81110336826423</v>
      </c>
      <c r="O49" s="130">
        <f t="shared" si="1"/>
        <v>64.81110336826423</v>
      </c>
    </row>
    <row r="50" spans="1:15" ht="78.75">
      <c r="A50" s="15" t="s">
        <v>18</v>
      </c>
      <c r="B50" s="15">
        <v>1</v>
      </c>
      <c r="C50" s="15">
        <v>25</v>
      </c>
      <c r="D50" s="15" t="s">
        <v>18</v>
      </c>
      <c r="E50" s="22" t="s">
        <v>264</v>
      </c>
      <c r="F50" s="136" t="s">
        <v>10</v>
      </c>
      <c r="G50" s="12">
        <v>855</v>
      </c>
      <c r="H50" s="12" t="s">
        <v>81</v>
      </c>
      <c r="I50" s="11" t="s">
        <v>265</v>
      </c>
      <c r="J50" s="10">
        <v>320</v>
      </c>
      <c r="K50" s="133">
        <v>0</v>
      </c>
      <c r="L50" s="133">
        <v>0</v>
      </c>
      <c r="M50" s="133">
        <v>0</v>
      </c>
      <c r="N50" s="130">
        <v>0</v>
      </c>
      <c r="O50" s="130">
        <v>0</v>
      </c>
    </row>
    <row r="51" spans="1:15" ht="45">
      <c r="A51" s="65" t="s">
        <v>18</v>
      </c>
      <c r="B51" s="65" t="s">
        <v>63</v>
      </c>
      <c r="C51" s="66" t="s">
        <v>448</v>
      </c>
      <c r="D51" s="66"/>
      <c r="E51" s="22" t="s">
        <v>449</v>
      </c>
      <c r="F51" s="136" t="s">
        <v>10</v>
      </c>
      <c r="G51" s="134" t="s">
        <v>135</v>
      </c>
      <c r="H51" s="134" t="s">
        <v>173</v>
      </c>
      <c r="I51" s="134" t="s">
        <v>450</v>
      </c>
      <c r="J51" s="134"/>
      <c r="K51" s="133">
        <f>K52+K54+K55</f>
        <v>127542.1</v>
      </c>
      <c r="L51" s="133">
        <f>L52+L53+L54+L55</f>
        <v>230041.69999999998</v>
      </c>
      <c r="M51" s="133">
        <f>M52+M54+M55</f>
        <v>4207.9</v>
      </c>
      <c r="N51" s="130">
        <f>M51/K51*100</f>
        <v>3.299224334553061</v>
      </c>
      <c r="O51" s="132">
        <f t="shared" si="1"/>
        <v>1.8291900990124832</v>
      </c>
    </row>
    <row r="52" spans="1:15" ht="90">
      <c r="A52" s="169" t="s">
        <v>18</v>
      </c>
      <c r="B52" s="171" t="s">
        <v>63</v>
      </c>
      <c r="C52" s="169" t="s">
        <v>448</v>
      </c>
      <c r="D52" s="169" t="s">
        <v>34</v>
      </c>
      <c r="E52" s="22" t="s">
        <v>451</v>
      </c>
      <c r="F52" s="136" t="s">
        <v>10</v>
      </c>
      <c r="G52" s="134" t="s">
        <v>135</v>
      </c>
      <c r="H52" s="134" t="s">
        <v>269</v>
      </c>
      <c r="I52" s="134" t="s">
        <v>452</v>
      </c>
      <c r="J52" s="134" t="s">
        <v>142</v>
      </c>
      <c r="K52" s="133">
        <v>67047.8</v>
      </c>
      <c r="L52" s="133">
        <v>67047.8</v>
      </c>
      <c r="M52" s="133">
        <v>0</v>
      </c>
      <c r="N52" s="130">
        <f>M52/K52*100</f>
        <v>0</v>
      </c>
      <c r="O52" s="132">
        <f t="shared" si="1"/>
        <v>0</v>
      </c>
    </row>
    <row r="53" spans="1:15" ht="15">
      <c r="A53" s="170"/>
      <c r="B53" s="172"/>
      <c r="C53" s="170"/>
      <c r="D53" s="170"/>
      <c r="E53" s="22"/>
      <c r="F53" s="136"/>
      <c r="G53" s="134" t="s">
        <v>135</v>
      </c>
      <c r="H53" s="134" t="s">
        <v>269</v>
      </c>
      <c r="I53" s="134" t="s">
        <v>497</v>
      </c>
      <c r="J53" s="134" t="s">
        <v>142</v>
      </c>
      <c r="K53" s="133">
        <v>0</v>
      </c>
      <c r="L53" s="133">
        <v>102500</v>
      </c>
      <c r="M53" s="133">
        <v>0</v>
      </c>
      <c r="N53" s="130">
        <v>0</v>
      </c>
      <c r="O53" s="132">
        <f t="shared" si="1"/>
        <v>0</v>
      </c>
    </row>
    <row r="54" spans="1:15" ht="78.75">
      <c r="A54" s="65" t="s">
        <v>18</v>
      </c>
      <c r="B54" s="65" t="s">
        <v>63</v>
      </c>
      <c r="C54" s="65" t="s">
        <v>448</v>
      </c>
      <c r="D54" s="65" t="s">
        <v>18</v>
      </c>
      <c r="E54" s="22" t="s">
        <v>453</v>
      </c>
      <c r="F54" s="136" t="s">
        <v>10</v>
      </c>
      <c r="G54" s="134" t="s">
        <v>135</v>
      </c>
      <c r="H54" s="134" t="s">
        <v>269</v>
      </c>
      <c r="I54" s="134" t="s">
        <v>454</v>
      </c>
      <c r="J54" s="134" t="s">
        <v>137</v>
      </c>
      <c r="K54" s="133">
        <v>4207.9</v>
      </c>
      <c r="L54" s="133">
        <v>4207.9</v>
      </c>
      <c r="M54" s="133">
        <v>4207.9</v>
      </c>
      <c r="N54" s="130">
        <f>M54/K54*100</f>
        <v>100</v>
      </c>
      <c r="O54" s="132">
        <f t="shared" si="1"/>
        <v>100</v>
      </c>
    </row>
    <row r="55" spans="1:15" ht="56.25">
      <c r="A55" s="65" t="s">
        <v>18</v>
      </c>
      <c r="B55" s="65" t="s">
        <v>63</v>
      </c>
      <c r="C55" s="66" t="s">
        <v>448</v>
      </c>
      <c r="D55" s="66" t="s">
        <v>35</v>
      </c>
      <c r="E55" s="22" t="s">
        <v>455</v>
      </c>
      <c r="F55" s="136" t="s">
        <v>10</v>
      </c>
      <c r="G55" s="134" t="s">
        <v>135</v>
      </c>
      <c r="H55" s="134" t="s">
        <v>173</v>
      </c>
      <c r="I55" s="134" t="s">
        <v>456</v>
      </c>
      <c r="J55" s="134" t="s">
        <v>142</v>
      </c>
      <c r="K55" s="133">
        <v>56286.4</v>
      </c>
      <c r="L55" s="133">
        <v>56286</v>
      </c>
      <c r="M55" s="133">
        <v>0</v>
      </c>
      <c r="N55" s="130">
        <f>M55/K55*100</f>
        <v>0</v>
      </c>
      <c r="O55" s="132">
        <f t="shared" si="1"/>
        <v>0</v>
      </c>
    </row>
    <row r="56" spans="1:15" ht="183.75" customHeight="1">
      <c r="A56" s="15" t="s">
        <v>18</v>
      </c>
      <c r="B56" s="15">
        <v>1</v>
      </c>
      <c r="C56" s="15" t="s">
        <v>259</v>
      </c>
      <c r="D56" s="15"/>
      <c r="E56" s="22" t="s">
        <v>260</v>
      </c>
      <c r="F56" s="136" t="s">
        <v>10</v>
      </c>
      <c r="G56" s="12">
        <v>855</v>
      </c>
      <c r="H56" s="12" t="s">
        <v>81</v>
      </c>
      <c r="I56" s="11" t="s">
        <v>282</v>
      </c>
      <c r="J56" s="10">
        <v>323</v>
      </c>
      <c r="K56" s="133">
        <v>0</v>
      </c>
      <c r="L56" s="133">
        <f>L57</f>
        <v>199888.6</v>
      </c>
      <c r="M56" s="133">
        <v>79864.29</v>
      </c>
      <c r="N56" s="130">
        <v>0</v>
      </c>
      <c r="O56" s="130">
        <f t="shared" si="1"/>
        <v>39.95439960057752</v>
      </c>
    </row>
    <row r="57" spans="1:15" ht="202.5">
      <c r="A57" s="15" t="s">
        <v>18</v>
      </c>
      <c r="B57" s="15">
        <v>1</v>
      </c>
      <c r="C57" s="15" t="s">
        <v>259</v>
      </c>
      <c r="D57" s="15" t="s">
        <v>34</v>
      </c>
      <c r="E57" s="22" t="s">
        <v>260</v>
      </c>
      <c r="F57" s="136" t="s">
        <v>10</v>
      </c>
      <c r="G57" s="12">
        <v>855</v>
      </c>
      <c r="H57" s="12" t="s">
        <v>81</v>
      </c>
      <c r="I57" s="11" t="s">
        <v>261</v>
      </c>
      <c r="J57" s="10">
        <v>323</v>
      </c>
      <c r="K57" s="133">
        <v>0</v>
      </c>
      <c r="L57" s="133">
        <v>199888.6</v>
      </c>
      <c r="M57" s="133">
        <v>234740.2</v>
      </c>
      <c r="N57" s="130">
        <v>0</v>
      </c>
      <c r="O57" s="130">
        <f t="shared" si="1"/>
        <v>117.43551157995003</v>
      </c>
    </row>
    <row r="58" spans="1:15" ht="123.75">
      <c r="A58" s="147" t="s">
        <v>18</v>
      </c>
      <c r="B58" s="147">
        <v>2</v>
      </c>
      <c r="C58" s="147"/>
      <c r="D58" s="147"/>
      <c r="E58" s="22" t="s">
        <v>105</v>
      </c>
      <c r="F58" s="136" t="s">
        <v>49</v>
      </c>
      <c r="G58" s="23"/>
      <c r="H58" s="23"/>
      <c r="I58" s="14"/>
      <c r="J58" s="23"/>
      <c r="K58" s="129">
        <f>K59</f>
        <v>2576573.1</v>
      </c>
      <c r="L58" s="129">
        <f>L59</f>
        <v>2897079.0000000005</v>
      </c>
      <c r="M58" s="129">
        <f>M59</f>
        <v>1579221.4753599998</v>
      </c>
      <c r="N58" s="129">
        <f t="shared" si="0"/>
        <v>61.29154555560638</v>
      </c>
      <c r="O58" s="129">
        <f t="shared" si="1"/>
        <v>54.51081849545696</v>
      </c>
    </row>
    <row r="59" spans="1:15" ht="45">
      <c r="A59" s="147"/>
      <c r="B59" s="147"/>
      <c r="C59" s="147"/>
      <c r="D59" s="147"/>
      <c r="E59" s="22"/>
      <c r="F59" s="136" t="s">
        <v>50</v>
      </c>
      <c r="G59" s="10">
        <v>855</v>
      </c>
      <c r="H59" s="10"/>
      <c r="I59" s="8"/>
      <c r="J59" s="10"/>
      <c r="K59" s="130">
        <f>K60+K62+K64+K67+K70+K74+K78+K80+K82+K84+K86+K88+K90+K92+K94</f>
        <v>2576573.1</v>
      </c>
      <c r="L59" s="130">
        <f>L60+L62+L64+L67+L70+L74+L78+L80+L82+L84+L86+L88+L90+L92+L94</f>
        <v>2897079.0000000005</v>
      </c>
      <c r="M59" s="130">
        <f>M60+M62+M64+M67+M70+M74+M78+M80+M82+M84+M86+M88+M90+M92+M94</f>
        <v>1579221.4753599998</v>
      </c>
      <c r="N59" s="130">
        <f t="shared" si="0"/>
        <v>61.29154555560638</v>
      </c>
      <c r="O59" s="130">
        <f t="shared" si="1"/>
        <v>54.51081849545696</v>
      </c>
    </row>
    <row r="60" spans="1:15" ht="67.5">
      <c r="A60" s="15" t="s">
        <v>18</v>
      </c>
      <c r="B60" s="15">
        <v>2</v>
      </c>
      <c r="C60" s="15" t="s">
        <v>18</v>
      </c>
      <c r="D60" s="15"/>
      <c r="E60" s="22" t="s">
        <v>106</v>
      </c>
      <c r="F60" s="136" t="s">
        <v>50</v>
      </c>
      <c r="G60" s="10">
        <v>855</v>
      </c>
      <c r="H60" s="10" t="s">
        <v>54</v>
      </c>
      <c r="I60" s="8" t="s">
        <v>107</v>
      </c>
      <c r="J60" s="10"/>
      <c r="K60" s="130">
        <f>K61</f>
        <v>0</v>
      </c>
      <c r="L60" s="130">
        <f>L61</f>
        <v>0</v>
      </c>
      <c r="M60" s="130">
        <f>M61</f>
        <v>0</v>
      </c>
      <c r="N60" s="130">
        <v>0</v>
      </c>
      <c r="O60" s="130">
        <v>0</v>
      </c>
    </row>
    <row r="61" spans="1:15" ht="78.75">
      <c r="A61" s="15" t="s">
        <v>18</v>
      </c>
      <c r="B61" s="15">
        <v>2</v>
      </c>
      <c r="C61" s="15" t="s">
        <v>18</v>
      </c>
      <c r="D61" s="15" t="s">
        <v>34</v>
      </c>
      <c r="E61" s="22" t="s">
        <v>108</v>
      </c>
      <c r="F61" s="136" t="s">
        <v>50</v>
      </c>
      <c r="G61" s="10">
        <v>855</v>
      </c>
      <c r="H61" s="10" t="s">
        <v>54</v>
      </c>
      <c r="I61" s="11" t="s">
        <v>109</v>
      </c>
      <c r="J61" s="10">
        <v>240</v>
      </c>
      <c r="K61" s="130">
        <v>0</v>
      </c>
      <c r="L61" s="130">
        <v>0</v>
      </c>
      <c r="M61" s="130">
        <v>0</v>
      </c>
      <c r="N61" s="130">
        <v>0</v>
      </c>
      <c r="O61" s="130">
        <v>0</v>
      </c>
    </row>
    <row r="62" spans="1:15" s="116" customFormat="1" ht="168.75">
      <c r="A62" s="110" t="s">
        <v>18</v>
      </c>
      <c r="B62" s="110">
        <v>2</v>
      </c>
      <c r="C62" s="110" t="s">
        <v>35</v>
      </c>
      <c r="D62" s="110"/>
      <c r="E62" s="111" t="s">
        <v>80</v>
      </c>
      <c r="F62" s="136" t="s">
        <v>50</v>
      </c>
      <c r="G62" s="113">
        <v>855</v>
      </c>
      <c r="H62" s="113" t="s">
        <v>110</v>
      </c>
      <c r="I62" s="122" t="s">
        <v>111</v>
      </c>
      <c r="J62" s="113"/>
      <c r="K62" s="131">
        <f>K63</f>
        <v>271</v>
      </c>
      <c r="L62" s="131">
        <f>L63</f>
        <v>8726.9</v>
      </c>
      <c r="M62" s="131">
        <f>M63</f>
        <v>3302.2</v>
      </c>
      <c r="N62" s="131">
        <f t="shared" si="0"/>
        <v>1218.5239852398522</v>
      </c>
      <c r="O62" s="131">
        <f t="shared" si="1"/>
        <v>37.8393243878124</v>
      </c>
    </row>
    <row r="63" spans="1:15" s="116" customFormat="1" ht="56.25">
      <c r="A63" s="123" t="s">
        <v>18</v>
      </c>
      <c r="B63" s="123">
        <v>2</v>
      </c>
      <c r="C63" s="123" t="s">
        <v>35</v>
      </c>
      <c r="D63" s="123" t="s">
        <v>34</v>
      </c>
      <c r="E63" s="111" t="s">
        <v>83</v>
      </c>
      <c r="F63" s="136" t="s">
        <v>50</v>
      </c>
      <c r="G63" s="113">
        <v>855</v>
      </c>
      <c r="H63" s="113" t="s">
        <v>112</v>
      </c>
      <c r="I63" s="114" t="s">
        <v>113</v>
      </c>
      <c r="J63" s="115">
        <v>612</v>
      </c>
      <c r="K63" s="131">
        <v>271</v>
      </c>
      <c r="L63" s="131">
        <v>8726.9</v>
      </c>
      <c r="M63" s="131">
        <v>3302.2</v>
      </c>
      <c r="N63" s="131">
        <f t="shared" si="0"/>
        <v>1218.5239852398522</v>
      </c>
      <c r="O63" s="131">
        <f t="shared" si="1"/>
        <v>37.8393243878124</v>
      </c>
    </row>
    <row r="64" spans="1:15" ht="67.5">
      <c r="A64" s="15" t="s">
        <v>18</v>
      </c>
      <c r="B64" s="15">
        <v>2</v>
      </c>
      <c r="C64" s="15" t="s">
        <v>22</v>
      </c>
      <c r="D64" s="17"/>
      <c r="E64" s="22" t="s">
        <v>114</v>
      </c>
      <c r="F64" s="136" t="s">
        <v>50</v>
      </c>
      <c r="G64" s="10">
        <v>855</v>
      </c>
      <c r="H64" s="10" t="s">
        <v>112</v>
      </c>
      <c r="I64" s="11" t="s">
        <v>274</v>
      </c>
      <c r="J64" s="10"/>
      <c r="K64" s="130">
        <f>K65+K66</f>
        <v>161780.4</v>
      </c>
      <c r="L64" s="130">
        <f>L65+L66</f>
        <v>161780.4</v>
      </c>
      <c r="M64" s="130">
        <f>M65+M66</f>
        <v>131084.60936</v>
      </c>
      <c r="N64" s="130">
        <f t="shared" si="0"/>
        <v>81.0262611292839</v>
      </c>
      <c r="O64" s="130">
        <f t="shared" si="1"/>
        <v>81.0262611292839</v>
      </c>
    </row>
    <row r="65" spans="1:15" ht="90">
      <c r="A65" s="15" t="s">
        <v>18</v>
      </c>
      <c r="B65" s="15">
        <v>2</v>
      </c>
      <c r="C65" s="15" t="s">
        <v>22</v>
      </c>
      <c r="D65" s="15" t="s">
        <v>34</v>
      </c>
      <c r="E65" s="22" t="s">
        <v>86</v>
      </c>
      <c r="F65" s="136" t="s">
        <v>50</v>
      </c>
      <c r="G65" s="10">
        <v>855</v>
      </c>
      <c r="H65" s="10" t="s">
        <v>112</v>
      </c>
      <c r="I65" s="11" t="s">
        <v>272</v>
      </c>
      <c r="J65" s="10">
        <v>611.612</v>
      </c>
      <c r="K65" s="130">
        <v>135264.6</v>
      </c>
      <c r="L65" s="130">
        <v>135264.6</v>
      </c>
      <c r="M65" s="130">
        <v>109599.848</v>
      </c>
      <c r="N65" s="130">
        <f t="shared" si="0"/>
        <v>81.02626112079582</v>
      </c>
      <c r="O65" s="130">
        <f t="shared" si="1"/>
        <v>81.02626112079582</v>
      </c>
    </row>
    <row r="66" spans="1:15" ht="101.25">
      <c r="A66" s="15" t="s">
        <v>18</v>
      </c>
      <c r="B66" s="15" t="s">
        <v>115</v>
      </c>
      <c r="C66" s="15" t="s">
        <v>22</v>
      </c>
      <c r="D66" s="15" t="s">
        <v>18</v>
      </c>
      <c r="E66" s="22" t="s">
        <v>116</v>
      </c>
      <c r="F66" s="136" t="s">
        <v>50</v>
      </c>
      <c r="G66" s="10">
        <v>855</v>
      </c>
      <c r="H66" s="10" t="s">
        <v>112</v>
      </c>
      <c r="I66" s="24" t="s">
        <v>117</v>
      </c>
      <c r="J66" s="10">
        <v>611</v>
      </c>
      <c r="K66" s="130">
        <v>26515.8</v>
      </c>
      <c r="L66" s="130">
        <v>26515.8</v>
      </c>
      <c r="M66" s="130">
        <v>21484.76136</v>
      </c>
      <c r="N66" s="130">
        <f t="shared" si="0"/>
        <v>81.0262611725839</v>
      </c>
      <c r="O66" s="130">
        <f t="shared" si="1"/>
        <v>81.0262611725839</v>
      </c>
    </row>
    <row r="67" spans="1:15" ht="45">
      <c r="A67" s="15" t="s">
        <v>18</v>
      </c>
      <c r="B67" s="15">
        <v>2</v>
      </c>
      <c r="C67" s="15" t="s">
        <v>23</v>
      </c>
      <c r="D67" s="16"/>
      <c r="E67" s="22" t="s">
        <v>118</v>
      </c>
      <c r="F67" s="136" t="s">
        <v>50</v>
      </c>
      <c r="G67" s="10">
        <v>855</v>
      </c>
      <c r="H67" s="10" t="s">
        <v>119</v>
      </c>
      <c r="I67" s="8" t="s">
        <v>120</v>
      </c>
      <c r="J67" s="10"/>
      <c r="K67" s="130">
        <f>K68+K69</f>
        <v>83297.3</v>
      </c>
      <c r="L67" s="130">
        <f>L68+L69</f>
        <v>73025.7</v>
      </c>
      <c r="M67" s="130">
        <f>M68+M69</f>
        <v>39732.878</v>
      </c>
      <c r="N67" s="130">
        <f t="shared" si="0"/>
        <v>47.700079114208975</v>
      </c>
      <c r="O67" s="130">
        <f t="shared" si="1"/>
        <v>54.40944489405785</v>
      </c>
    </row>
    <row r="68" spans="1:15" ht="73.5" customHeight="1">
      <c r="A68" s="15" t="s">
        <v>18</v>
      </c>
      <c r="B68" s="15">
        <v>2</v>
      </c>
      <c r="C68" s="15" t="s">
        <v>23</v>
      </c>
      <c r="D68" s="15" t="s">
        <v>34</v>
      </c>
      <c r="E68" s="22" t="s">
        <v>86</v>
      </c>
      <c r="F68" s="136" t="s">
        <v>50</v>
      </c>
      <c r="G68" s="10">
        <v>855</v>
      </c>
      <c r="H68" s="10" t="s">
        <v>119</v>
      </c>
      <c r="I68" s="11" t="s">
        <v>121</v>
      </c>
      <c r="J68" s="10" t="s">
        <v>122</v>
      </c>
      <c r="K68" s="130">
        <v>83297.3</v>
      </c>
      <c r="L68" s="130">
        <v>73025.7</v>
      </c>
      <c r="M68" s="130">
        <v>39732.878</v>
      </c>
      <c r="N68" s="130">
        <f t="shared" si="0"/>
        <v>47.700079114208975</v>
      </c>
      <c r="O68" s="130">
        <f t="shared" si="1"/>
        <v>54.40944489405785</v>
      </c>
    </row>
    <row r="69" spans="1:15" ht="45">
      <c r="A69" s="15" t="s">
        <v>18</v>
      </c>
      <c r="B69" s="15">
        <v>2</v>
      </c>
      <c r="C69" s="15" t="s">
        <v>23</v>
      </c>
      <c r="D69" s="15" t="s">
        <v>18</v>
      </c>
      <c r="E69" s="22" t="s">
        <v>123</v>
      </c>
      <c r="F69" s="136" t="s">
        <v>10</v>
      </c>
      <c r="G69" s="10">
        <v>855</v>
      </c>
      <c r="H69" s="10" t="s">
        <v>119</v>
      </c>
      <c r="I69" s="11" t="s">
        <v>124</v>
      </c>
      <c r="J69" s="10">
        <v>244</v>
      </c>
      <c r="K69" s="130">
        <v>0</v>
      </c>
      <c r="L69" s="130">
        <v>0</v>
      </c>
      <c r="M69" s="130">
        <v>0</v>
      </c>
      <c r="N69" s="130">
        <v>0</v>
      </c>
      <c r="O69" s="130">
        <v>0</v>
      </c>
    </row>
    <row r="70" spans="1:15" ht="45">
      <c r="A70" s="15" t="s">
        <v>18</v>
      </c>
      <c r="B70" s="15">
        <v>2</v>
      </c>
      <c r="C70" s="15" t="s">
        <v>25</v>
      </c>
      <c r="D70" s="16"/>
      <c r="E70" s="22" t="s">
        <v>24</v>
      </c>
      <c r="F70" s="136" t="s">
        <v>50</v>
      </c>
      <c r="G70" s="10">
        <v>855</v>
      </c>
      <c r="H70" s="12" t="s">
        <v>275</v>
      </c>
      <c r="I70" s="8" t="s">
        <v>125</v>
      </c>
      <c r="J70" s="10"/>
      <c r="K70" s="130">
        <f>K71+K72+K73</f>
        <v>152930.4</v>
      </c>
      <c r="L70" s="130">
        <f>L71+L72+L73</f>
        <v>149775.7</v>
      </c>
      <c r="M70" s="130">
        <f>M71+M72+M73</f>
        <v>56687.107</v>
      </c>
      <c r="N70" s="130">
        <f t="shared" si="0"/>
        <v>37.06725870068999</v>
      </c>
      <c r="O70" s="130">
        <f t="shared" si="1"/>
        <v>37.84800004273056</v>
      </c>
    </row>
    <row r="71" spans="1:15" ht="73.5" customHeight="1">
      <c r="A71" s="15" t="s">
        <v>18</v>
      </c>
      <c r="B71" s="15">
        <v>2</v>
      </c>
      <c r="C71" s="15" t="s">
        <v>25</v>
      </c>
      <c r="D71" s="15" t="s">
        <v>34</v>
      </c>
      <c r="E71" s="22" t="s">
        <v>86</v>
      </c>
      <c r="F71" s="136" t="s">
        <v>50</v>
      </c>
      <c r="G71" s="10">
        <v>855</v>
      </c>
      <c r="H71" s="12" t="s">
        <v>268</v>
      </c>
      <c r="I71" s="11" t="s">
        <v>126</v>
      </c>
      <c r="J71" s="10">
        <v>611</v>
      </c>
      <c r="K71" s="130">
        <v>96840.2</v>
      </c>
      <c r="L71" s="130">
        <v>93685.5</v>
      </c>
      <c r="M71" s="130">
        <v>47171.214</v>
      </c>
      <c r="N71" s="130">
        <f t="shared" si="0"/>
        <v>48.710364084336874</v>
      </c>
      <c r="O71" s="130">
        <f t="shared" si="1"/>
        <v>50.35060281473653</v>
      </c>
    </row>
    <row r="72" spans="1:15" ht="67.5">
      <c r="A72" s="15" t="s">
        <v>18</v>
      </c>
      <c r="B72" s="15">
        <v>2</v>
      </c>
      <c r="C72" s="15" t="s">
        <v>25</v>
      </c>
      <c r="D72" s="15" t="s">
        <v>18</v>
      </c>
      <c r="E72" s="22" t="s">
        <v>266</v>
      </c>
      <c r="F72" s="136" t="s">
        <v>50</v>
      </c>
      <c r="G72" s="10">
        <v>855</v>
      </c>
      <c r="H72" s="10" t="s">
        <v>54</v>
      </c>
      <c r="I72" s="11" t="s">
        <v>267</v>
      </c>
      <c r="J72" s="10">
        <v>240</v>
      </c>
      <c r="K72" s="130">
        <v>0</v>
      </c>
      <c r="L72" s="130">
        <v>0</v>
      </c>
      <c r="M72" s="130">
        <v>0</v>
      </c>
      <c r="N72" s="130">
        <v>0</v>
      </c>
      <c r="O72" s="130">
        <v>0</v>
      </c>
    </row>
    <row r="73" spans="1:15" ht="45">
      <c r="A73" s="65" t="s">
        <v>18</v>
      </c>
      <c r="B73" s="65" t="s">
        <v>115</v>
      </c>
      <c r="C73" s="65" t="s">
        <v>25</v>
      </c>
      <c r="D73" s="65" t="s">
        <v>35</v>
      </c>
      <c r="E73" s="22" t="s">
        <v>457</v>
      </c>
      <c r="F73" s="136" t="s">
        <v>10</v>
      </c>
      <c r="G73" s="134" t="s">
        <v>135</v>
      </c>
      <c r="H73" s="134" t="s">
        <v>173</v>
      </c>
      <c r="I73" s="134" t="s">
        <v>458</v>
      </c>
      <c r="J73" s="134" t="s">
        <v>142</v>
      </c>
      <c r="K73" s="130">
        <v>56090.2</v>
      </c>
      <c r="L73" s="130">
        <v>56090.2</v>
      </c>
      <c r="M73" s="130">
        <v>9515.893</v>
      </c>
      <c r="N73" s="130">
        <f t="shared" si="0"/>
        <v>16.965339756321068</v>
      </c>
      <c r="O73" s="130">
        <f t="shared" si="1"/>
        <v>16.965339756321068</v>
      </c>
    </row>
    <row r="74" spans="1:15" ht="45">
      <c r="A74" s="15" t="s">
        <v>18</v>
      </c>
      <c r="B74" s="15">
        <v>2</v>
      </c>
      <c r="C74" s="15" t="s">
        <v>26</v>
      </c>
      <c r="D74" s="15"/>
      <c r="E74" s="22" t="s">
        <v>8</v>
      </c>
      <c r="F74" s="136" t="s">
        <v>50</v>
      </c>
      <c r="G74" s="10">
        <v>855</v>
      </c>
      <c r="H74" s="8" t="s">
        <v>127</v>
      </c>
      <c r="I74" s="8" t="s">
        <v>128</v>
      </c>
      <c r="J74" s="10"/>
      <c r="K74" s="130">
        <f>K75+K76+K77</f>
        <v>91384.20000000001</v>
      </c>
      <c r="L74" s="130">
        <f>L75+L76+L77</f>
        <v>102039.00000000001</v>
      </c>
      <c r="M74" s="130">
        <f>M75+M76+M77</f>
        <v>58674.75000000001</v>
      </c>
      <c r="N74" s="130">
        <f t="shared" si="0"/>
        <v>64.20666811111768</v>
      </c>
      <c r="O74" s="130">
        <f t="shared" si="1"/>
        <v>57.50227854055802</v>
      </c>
    </row>
    <row r="75" spans="1:15" ht="90">
      <c r="A75" s="15" t="s">
        <v>18</v>
      </c>
      <c r="B75" s="15">
        <v>2</v>
      </c>
      <c r="C75" s="15" t="s">
        <v>26</v>
      </c>
      <c r="D75" s="15" t="s">
        <v>34</v>
      </c>
      <c r="E75" s="22" t="s">
        <v>86</v>
      </c>
      <c r="F75" s="136" t="s">
        <v>50</v>
      </c>
      <c r="G75" s="10">
        <v>855</v>
      </c>
      <c r="H75" s="10" t="s">
        <v>129</v>
      </c>
      <c r="I75" s="11" t="s">
        <v>130</v>
      </c>
      <c r="J75" s="12">
        <v>611</v>
      </c>
      <c r="K75" s="130">
        <v>73368.3</v>
      </c>
      <c r="L75" s="130">
        <v>84023.1</v>
      </c>
      <c r="M75" s="130">
        <v>49382.3</v>
      </c>
      <c r="N75" s="130">
        <f t="shared" si="0"/>
        <v>67.30740660475982</v>
      </c>
      <c r="O75" s="130">
        <f t="shared" si="1"/>
        <v>58.77229000120205</v>
      </c>
    </row>
    <row r="76" spans="1:15" ht="56.25">
      <c r="A76" s="155" t="s">
        <v>18</v>
      </c>
      <c r="B76" s="155">
        <v>2</v>
      </c>
      <c r="C76" s="155" t="s">
        <v>26</v>
      </c>
      <c r="D76" s="155" t="s">
        <v>35</v>
      </c>
      <c r="E76" s="22" t="s">
        <v>131</v>
      </c>
      <c r="F76" s="136" t="s">
        <v>50</v>
      </c>
      <c r="G76" s="10">
        <v>855</v>
      </c>
      <c r="H76" s="10" t="s">
        <v>112</v>
      </c>
      <c r="I76" s="11" t="s">
        <v>132</v>
      </c>
      <c r="J76" s="12" t="s">
        <v>133</v>
      </c>
      <c r="K76" s="130">
        <v>2198.1</v>
      </c>
      <c r="L76" s="130">
        <v>2198.1</v>
      </c>
      <c r="M76" s="130">
        <v>1232.8</v>
      </c>
      <c r="N76" s="130">
        <f t="shared" si="0"/>
        <v>56.084800509530965</v>
      </c>
      <c r="O76" s="130">
        <f t="shared" si="1"/>
        <v>56.084800509530965</v>
      </c>
    </row>
    <row r="77" spans="1:15" ht="36">
      <c r="A77" s="155"/>
      <c r="B77" s="155"/>
      <c r="C77" s="155"/>
      <c r="D77" s="155"/>
      <c r="E77" s="22"/>
      <c r="F77" s="136"/>
      <c r="G77" s="8">
        <v>855</v>
      </c>
      <c r="H77" s="8" t="s">
        <v>129</v>
      </c>
      <c r="I77" s="11" t="s">
        <v>132</v>
      </c>
      <c r="J77" s="11" t="s">
        <v>133</v>
      </c>
      <c r="K77" s="130">
        <v>15817.8</v>
      </c>
      <c r="L77" s="130">
        <v>15817.8</v>
      </c>
      <c r="M77" s="130">
        <v>8059.65</v>
      </c>
      <c r="N77" s="130">
        <f t="shared" si="0"/>
        <v>50.953040245799045</v>
      </c>
      <c r="O77" s="130">
        <f t="shared" si="1"/>
        <v>50.953040245799045</v>
      </c>
    </row>
    <row r="78" spans="1:15" ht="67.5">
      <c r="A78" s="19" t="s">
        <v>18</v>
      </c>
      <c r="B78" s="18" t="s">
        <v>115</v>
      </c>
      <c r="C78" s="18" t="s">
        <v>68</v>
      </c>
      <c r="D78" s="18"/>
      <c r="E78" s="22" t="s">
        <v>134</v>
      </c>
      <c r="F78" s="136" t="s">
        <v>50</v>
      </c>
      <c r="G78" s="8" t="s">
        <v>135</v>
      </c>
      <c r="H78" s="11" t="s">
        <v>498</v>
      </c>
      <c r="I78" s="11" t="s">
        <v>136</v>
      </c>
      <c r="J78" s="11" t="s">
        <v>137</v>
      </c>
      <c r="K78" s="130">
        <f>K79</f>
        <v>37500</v>
      </c>
      <c r="L78" s="130">
        <f>L79</f>
        <v>42022.6</v>
      </c>
      <c r="M78" s="130">
        <f>M79</f>
        <v>2512.83</v>
      </c>
      <c r="N78" s="130">
        <f t="shared" si="0"/>
        <v>6.70088</v>
      </c>
      <c r="O78" s="130">
        <f t="shared" si="1"/>
        <v>5.979710917458701</v>
      </c>
    </row>
    <row r="79" spans="1:15" ht="67.5">
      <c r="A79" s="18" t="s">
        <v>18</v>
      </c>
      <c r="B79" s="18" t="s">
        <v>115</v>
      </c>
      <c r="C79" s="18" t="s">
        <v>68</v>
      </c>
      <c r="D79" s="18" t="s">
        <v>35</v>
      </c>
      <c r="E79" s="22" t="s">
        <v>138</v>
      </c>
      <c r="F79" s="136" t="s">
        <v>50</v>
      </c>
      <c r="G79" s="8" t="s">
        <v>135</v>
      </c>
      <c r="H79" s="11" t="s">
        <v>499</v>
      </c>
      <c r="I79" s="20" t="s">
        <v>257</v>
      </c>
      <c r="J79" s="11" t="s">
        <v>137</v>
      </c>
      <c r="K79" s="130">
        <v>37500</v>
      </c>
      <c r="L79" s="130">
        <v>42022.6</v>
      </c>
      <c r="M79" s="130">
        <v>2512.83</v>
      </c>
      <c r="N79" s="130">
        <f t="shared" si="0"/>
        <v>6.70088</v>
      </c>
      <c r="O79" s="130">
        <f t="shared" si="1"/>
        <v>5.979710917458701</v>
      </c>
    </row>
    <row r="80" spans="1:15" ht="191.25">
      <c r="A80" s="15" t="s">
        <v>18</v>
      </c>
      <c r="B80" s="15">
        <v>2</v>
      </c>
      <c r="C80" s="15">
        <v>18</v>
      </c>
      <c r="D80" s="15"/>
      <c r="E80" s="22" t="s">
        <v>139</v>
      </c>
      <c r="F80" s="136" t="s">
        <v>50</v>
      </c>
      <c r="G80" s="11">
        <v>855</v>
      </c>
      <c r="H80" s="11" t="s">
        <v>276</v>
      </c>
      <c r="I80" s="11" t="s">
        <v>140</v>
      </c>
      <c r="J80" s="8"/>
      <c r="K80" s="133">
        <f>K81</f>
        <v>0</v>
      </c>
      <c r="L80" s="133">
        <f>L81</f>
        <v>0</v>
      </c>
      <c r="M80" s="133">
        <f>M81</f>
        <v>0</v>
      </c>
      <c r="N80" s="130">
        <v>0</v>
      </c>
      <c r="O80" s="130">
        <v>0</v>
      </c>
    </row>
    <row r="81" spans="1:15" ht="56.25">
      <c r="A81" s="15" t="s">
        <v>18</v>
      </c>
      <c r="B81" s="15">
        <v>2</v>
      </c>
      <c r="C81" s="15">
        <v>18</v>
      </c>
      <c r="D81" s="15" t="s">
        <v>34</v>
      </c>
      <c r="E81" s="22" t="s">
        <v>141</v>
      </c>
      <c r="F81" s="9" t="s">
        <v>50</v>
      </c>
      <c r="G81" s="11">
        <v>855</v>
      </c>
      <c r="H81" s="11" t="s">
        <v>277</v>
      </c>
      <c r="I81" s="11" t="s">
        <v>278</v>
      </c>
      <c r="J81" s="11" t="s">
        <v>279</v>
      </c>
      <c r="K81" s="133">
        <v>0</v>
      </c>
      <c r="L81" s="133">
        <v>0</v>
      </c>
      <c r="M81" s="133">
        <v>0</v>
      </c>
      <c r="N81" s="130">
        <v>0</v>
      </c>
      <c r="O81" s="130">
        <v>0</v>
      </c>
    </row>
    <row r="82" spans="1:15" ht="78.75">
      <c r="A82" s="15" t="s">
        <v>18</v>
      </c>
      <c r="B82" s="15" t="s">
        <v>115</v>
      </c>
      <c r="C82" s="15" t="s">
        <v>27</v>
      </c>
      <c r="D82" s="15"/>
      <c r="E82" s="22" t="s">
        <v>28</v>
      </c>
      <c r="F82" s="9" t="s">
        <v>50</v>
      </c>
      <c r="G82" s="11">
        <v>855</v>
      </c>
      <c r="H82" s="11" t="s">
        <v>143</v>
      </c>
      <c r="I82" s="11" t="s">
        <v>144</v>
      </c>
      <c r="J82" s="8"/>
      <c r="K82" s="133">
        <f>K83</f>
        <v>947609.4</v>
      </c>
      <c r="L82" s="133">
        <f>L83</f>
        <v>1037652.2</v>
      </c>
      <c r="M82" s="133">
        <f>M83</f>
        <v>601070.83</v>
      </c>
      <c r="N82" s="130">
        <f t="shared" si="0"/>
        <v>63.43023085250103</v>
      </c>
      <c r="O82" s="130">
        <f t="shared" si="1"/>
        <v>57.92604015102556</v>
      </c>
    </row>
    <row r="83" spans="1:15" ht="90">
      <c r="A83" s="15" t="s">
        <v>18</v>
      </c>
      <c r="B83" s="15" t="s">
        <v>115</v>
      </c>
      <c r="C83" s="15" t="s">
        <v>27</v>
      </c>
      <c r="D83" s="15" t="s">
        <v>34</v>
      </c>
      <c r="E83" s="22" t="s">
        <v>86</v>
      </c>
      <c r="F83" s="9" t="s">
        <v>50</v>
      </c>
      <c r="G83" s="11">
        <v>855</v>
      </c>
      <c r="H83" s="11" t="s">
        <v>143</v>
      </c>
      <c r="I83" s="11" t="s">
        <v>145</v>
      </c>
      <c r="J83" s="11" t="s">
        <v>146</v>
      </c>
      <c r="K83" s="133">
        <v>947609.4</v>
      </c>
      <c r="L83" s="133">
        <v>1037652.2</v>
      </c>
      <c r="M83" s="133">
        <v>601070.83</v>
      </c>
      <c r="N83" s="130">
        <f t="shared" si="0"/>
        <v>63.43023085250103</v>
      </c>
      <c r="O83" s="130">
        <f t="shared" si="1"/>
        <v>57.92604015102556</v>
      </c>
    </row>
    <row r="84" spans="1:15" ht="48">
      <c r="A84" s="15" t="s">
        <v>18</v>
      </c>
      <c r="B84" s="15" t="s">
        <v>115</v>
      </c>
      <c r="C84" s="15" t="s">
        <v>29</v>
      </c>
      <c r="D84" s="15"/>
      <c r="E84" s="22" t="s">
        <v>30</v>
      </c>
      <c r="F84" s="9" t="s">
        <v>50</v>
      </c>
      <c r="G84" s="11">
        <v>855</v>
      </c>
      <c r="H84" s="11" t="s">
        <v>81</v>
      </c>
      <c r="I84" s="11" t="s">
        <v>147</v>
      </c>
      <c r="J84" s="11"/>
      <c r="K84" s="133">
        <f>K85</f>
        <v>603450.4</v>
      </c>
      <c r="L84" s="133">
        <f>L85</f>
        <v>627217.2</v>
      </c>
      <c r="M84" s="133">
        <f>M85</f>
        <v>339741.235</v>
      </c>
      <c r="N84" s="130">
        <f t="shared" si="0"/>
        <v>56.29977791049604</v>
      </c>
      <c r="O84" s="130">
        <f t="shared" si="1"/>
        <v>54.166441066986046</v>
      </c>
    </row>
    <row r="85" spans="1:15" ht="90">
      <c r="A85" s="15" t="s">
        <v>18</v>
      </c>
      <c r="B85" s="15" t="s">
        <v>115</v>
      </c>
      <c r="C85" s="15" t="s">
        <v>29</v>
      </c>
      <c r="D85" s="15" t="s">
        <v>34</v>
      </c>
      <c r="E85" s="22" t="s">
        <v>86</v>
      </c>
      <c r="F85" s="9" t="s">
        <v>50</v>
      </c>
      <c r="G85" s="11">
        <v>855</v>
      </c>
      <c r="H85" s="11" t="s">
        <v>81</v>
      </c>
      <c r="I85" s="11" t="s">
        <v>148</v>
      </c>
      <c r="J85" s="11" t="s">
        <v>283</v>
      </c>
      <c r="K85" s="133">
        <v>603450.4</v>
      </c>
      <c r="L85" s="133">
        <v>627217.2</v>
      </c>
      <c r="M85" s="133">
        <v>339741.235</v>
      </c>
      <c r="N85" s="130">
        <f t="shared" si="0"/>
        <v>56.29977791049604</v>
      </c>
      <c r="O85" s="130">
        <f t="shared" si="1"/>
        <v>54.166441066986046</v>
      </c>
    </row>
    <row r="86" spans="1:15" ht="78.75">
      <c r="A86" s="15" t="s">
        <v>18</v>
      </c>
      <c r="B86" s="15" t="s">
        <v>115</v>
      </c>
      <c r="C86" s="15" t="s">
        <v>31</v>
      </c>
      <c r="D86" s="15"/>
      <c r="E86" s="22" t="s">
        <v>32</v>
      </c>
      <c r="F86" s="9" t="s">
        <v>50</v>
      </c>
      <c r="G86" s="11">
        <v>855</v>
      </c>
      <c r="H86" s="11" t="s">
        <v>150</v>
      </c>
      <c r="I86" s="11" t="s">
        <v>151</v>
      </c>
      <c r="J86" s="11"/>
      <c r="K86" s="133">
        <f>K87</f>
        <v>54469.3</v>
      </c>
      <c r="L86" s="133">
        <f>L87</f>
        <v>59763.4</v>
      </c>
      <c r="M86" s="133">
        <f>M87</f>
        <v>34316.791</v>
      </c>
      <c r="N86" s="130">
        <f t="shared" si="0"/>
        <v>63.002078234895606</v>
      </c>
      <c r="O86" s="130">
        <f t="shared" si="1"/>
        <v>57.421082133881264</v>
      </c>
    </row>
    <row r="87" spans="1:15" ht="90">
      <c r="A87" s="15" t="s">
        <v>18</v>
      </c>
      <c r="B87" s="15" t="s">
        <v>115</v>
      </c>
      <c r="C87" s="15" t="s">
        <v>31</v>
      </c>
      <c r="D87" s="15" t="s">
        <v>34</v>
      </c>
      <c r="E87" s="22" t="s">
        <v>86</v>
      </c>
      <c r="F87" s="9" t="s">
        <v>50</v>
      </c>
      <c r="G87" s="11">
        <v>855</v>
      </c>
      <c r="H87" s="11" t="s">
        <v>150</v>
      </c>
      <c r="I87" s="11" t="s">
        <v>152</v>
      </c>
      <c r="J87" s="11" t="s">
        <v>284</v>
      </c>
      <c r="K87" s="133">
        <v>54469.3</v>
      </c>
      <c r="L87" s="133">
        <v>59763.4</v>
      </c>
      <c r="M87" s="133">
        <v>34316.791</v>
      </c>
      <c r="N87" s="130">
        <f aca="true" t="shared" si="2" ref="N87:N173">M87/K87*100</f>
        <v>63.002078234895606</v>
      </c>
      <c r="O87" s="130">
        <f aca="true" t="shared" si="3" ref="O87:O173">M87/L87*100</f>
        <v>57.421082133881264</v>
      </c>
    </row>
    <row r="88" spans="1:15" ht="56.25">
      <c r="A88" s="67" t="s">
        <v>18</v>
      </c>
      <c r="B88" s="67" t="s">
        <v>115</v>
      </c>
      <c r="C88" s="67" t="s">
        <v>459</v>
      </c>
      <c r="D88" s="67"/>
      <c r="E88" s="22" t="s">
        <v>460</v>
      </c>
      <c r="F88" s="22" t="s">
        <v>10</v>
      </c>
      <c r="G88" s="134" t="s">
        <v>135</v>
      </c>
      <c r="H88" s="134" t="s">
        <v>173</v>
      </c>
      <c r="I88" s="134" t="s">
        <v>461</v>
      </c>
      <c r="J88" s="134"/>
      <c r="K88" s="133">
        <f>K89</f>
        <v>44704.7</v>
      </c>
      <c r="L88" s="133">
        <f>L89</f>
        <v>44704.7</v>
      </c>
      <c r="M88" s="133">
        <f>M89</f>
        <v>25619.545</v>
      </c>
      <c r="N88" s="130">
        <f t="shared" si="2"/>
        <v>57.30839262985771</v>
      </c>
      <c r="O88" s="130">
        <f t="shared" si="3"/>
        <v>57.30839262985771</v>
      </c>
    </row>
    <row r="89" spans="1:15" ht="67.5">
      <c r="A89" s="67" t="s">
        <v>18</v>
      </c>
      <c r="B89" s="67" t="s">
        <v>115</v>
      </c>
      <c r="C89" s="67" t="s">
        <v>459</v>
      </c>
      <c r="D89" s="67" t="s">
        <v>34</v>
      </c>
      <c r="E89" s="22" t="s">
        <v>462</v>
      </c>
      <c r="F89" s="22" t="s">
        <v>10</v>
      </c>
      <c r="G89" s="134" t="s">
        <v>135</v>
      </c>
      <c r="H89" s="134" t="s">
        <v>173</v>
      </c>
      <c r="I89" s="134" t="s">
        <v>463</v>
      </c>
      <c r="J89" s="134" t="s">
        <v>464</v>
      </c>
      <c r="K89" s="133">
        <v>44704.7</v>
      </c>
      <c r="L89" s="133">
        <v>44704.7</v>
      </c>
      <c r="M89" s="133">
        <v>25619.545</v>
      </c>
      <c r="N89" s="130">
        <f t="shared" si="2"/>
        <v>57.30839262985771</v>
      </c>
      <c r="O89" s="130">
        <f t="shared" si="3"/>
        <v>57.30839262985771</v>
      </c>
    </row>
    <row r="90" spans="1:15" ht="67.5">
      <c r="A90" s="67" t="s">
        <v>18</v>
      </c>
      <c r="B90" s="67" t="s">
        <v>115</v>
      </c>
      <c r="C90" s="67" t="s">
        <v>501</v>
      </c>
      <c r="D90" s="67"/>
      <c r="E90" s="22" t="s">
        <v>462</v>
      </c>
      <c r="F90" s="22" t="s">
        <v>10</v>
      </c>
      <c r="G90" s="134" t="s">
        <v>135</v>
      </c>
      <c r="H90" s="134" t="s">
        <v>173</v>
      </c>
      <c r="I90" s="134" t="s">
        <v>502</v>
      </c>
      <c r="J90" s="134"/>
      <c r="K90" s="133">
        <f>K91</f>
        <v>0</v>
      </c>
      <c r="L90" s="133">
        <f>L91</f>
        <v>44000</v>
      </c>
      <c r="M90" s="133">
        <f>M91</f>
        <v>0</v>
      </c>
      <c r="N90" s="130">
        <v>0</v>
      </c>
      <c r="O90" s="130">
        <f t="shared" si="3"/>
        <v>0</v>
      </c>
    </row>
    <row r="91" spans="1:15" ht="67.5">
      <c r="A91" s="67" t="s">
        <v>18</v>
      </c>
      <c r="B91" s="67" t="s">
        <v>115</v>
      </c>
      <c r="C91" s="67" t="s">
        <v>501</v>
      </c>
      <c r="D91" s="67" t="s">
        <v>34</v>
      </c>
      <c r="E91" s="22" t="s">
        <v>462</v>
      </c>
      <c r="F91" s="22" t="s">
        <v>10</v>
      </c>
      <c r="G91" s="134" t="s">
        <v>135</v>
      </c>
      <c r="H91" s="134" t="s">
        <v>173</v>
      </c>
      <c r="I91" s="134" t="s">
        <v>502</v>
      </c>
      <c r="J91" s="134" t="s">
        <v>464</v>
      </c>
      <c r="K91" s="133">
        <v>0</v>
      </c>
      <c r="L91" s="133">
        <v>44000</v>
      </c>
      <c r="M91" s="133">
        <v>0</v>
      </c>
      <c r="N91" s="130">
        <v>0</v>
      </c>
      <c r="O91" s="130">
        <f t="shared" si="3"/>
        <v>0</v>
      </c>
    </row>
    <row r="92" spans="1:15" ht="45">
      <c r="A92" s="65" t="s">
        <v>18</v>
      </c>
      <c r="B92" s="65" t="s">
        <v>115</v>
      </c>
      <c r="C92" s="66" t="s">
        <v>465</v>
      </c>
      <c r="D92" s="66"/>
      <c r="E92" s="22" t="s">
        <v>466</v>
      </c>
      <c r="F92" s="22" t="s">
        <v>10</v>
      </c>
      <c r="G92" s="134" t="s">
        <v>135</v>
      </c>
      <c r="H92" s="134" t="s">
        <v>173</v>
      </c>
      <c r="I92" s="134" t="s">
        <v>467</v>
      </c>
      <c r="J92" s="134"/>
      <c r="K92" s="133">
        <f>K93</f>
        <v>107141.1</v>
      </c>
      <c r="L92" s="133">
        <f>L93</f>
        <v>107141.1</v>
      </c>
      <c r="M92" s="133">
        <f>M93</f>
        <v>0</v>
      </c>
      <c r="N92" s="130">
        <f t="shared" si="2"/>
        <v>0</v>
      </c>
      <c r="O92" s="130">
        <f t="shared" si="3"/>
        <v>0</v>
      </c>
    </row>
    <row r="93" spans="1:15" ht="45">
      <c r="A93" s="65" t="s">
        <v>18</v>
      </c>
      <c r="B93" s="65" t="s">
        <v>115</v>
      </c>
      <c r="C93" s="66" t="s">
        <v>465</v>
      </c>
      <c r="D93" s="66" t="s">
        <v>34</v>
      </c>
      <c r="E93" s="22" t="s">
        <v>468</v>
      </c>
      <c r="F93" s="22" t="s">
        <v>10</v>
      </c>
      <c r="G93" s="134" t="s">
        <v>135</v>
      </c>
      <c r="H93" s="134" t="s">
        <v>173</v>
      </c>
      <c r="I93" s="134" t="s">
        <v>469</v>
      </c>
      <c r="J93" s="134" t="s">
        <v>137</v>
      </c>
      <c r="K93" s="133">
        <v>107141.1</v>
      </c>
      <c r="L93" s="133">
        <v>107141.1</v>
      </c>
      <c r="M93" s="133">
        <v>0</v>
      </c>
      <c r="N93" s="130">
        <f t="shared" si="2"/>
        <v>0</v>
      </c>
      <c r="O93" s="130">
        <f t="shared" si="3"/>
        <v>0</v>
      </c>
    </row>
    <row r="94" spans="1:15" ht="45">
      <c r="A94" s="65" t="s">
        <v>18</v>
      </c>
      <c r="B94" s="65" t="s">
        <v>115</v>
      </c>
      <c r="C94" s="65" t="s">
        <v>470</v>
      </c>
      <c r="D94" s="65"/>
      <c r="E94" s="22" t="s">
        <v>471</v>
      </c>
      <c r="F94" s="22" t="s">
        <v>10</v>
      </c>
      <c r="G94" s="134" t="s">
        <v>135</v>
      </c>
      <c r="H94" s="134" t="s">
        <v>173</v>
      </c>
      <c r="I94" s="134" t="s">
        <v>472</v>
      </c>
      <c r="J94" s="134"/>
      <c r="K94" s="133">
        <f>K95+K96+K97</f>
        <v>292034.9</v>
      </c>
      <c r="L94" s="133">
        <f>L95+L96+L97</f>
        <v>439230.10000000003</v>
      </c>
      <c r="M94" s="133">
        <f>M95+M96+M97</f>
        <v>286478.7</v>
      </c>
      <c r="N94" s="130">
        <f t="shared" si="2"/>
        <v>98.09741917832423</v>
      </c>
      <c r="O94" s="130">
        <f t="shared" si="3"/>
        <v>65.22292074245367</v>
      </c>
    </row>
    <row r="95" spans="1:15" ht="78.75">
      <c r="A95" s="65" t="s">
        <v>18</v>
      </c>
      <c r="B95" s="65" t="s">
        <v>115</v>
      </c>
      <c r="C95" s="65" t="s">
        <v>470</v>
      </c>
      <c r="D95" s="65" t="s">
        <v>34</v>
      </c>
      <c r="E95" s="22" t="s">
        <v>108</v>
      </c>
      <c r="F95" s="22" t="s">
        <v>10</v>
      </c>
      <c r="G95" s="134" t="s">
        <v>135</v>
      </c>
      <c r="H95" s="134" t="s">
        <v>173</v>
      </c>
      <c r="I95" s="134" t="s">
        <v>473</v>
      </c>
      <c r="J95" s="134" t="s">
        <v>142</v>
      </c>
      <c r="K95" s="133">
        <v>22195.2</v>
      </c>
      <c r="L95" s="133">
        <v>44390.4</v>
      </c>
      <c r="M95" s="133">
        <v>16639</v>
      </c>
      <c r="N95" s="130">
        <f t="shared" si="2"/>
        <v>74.9666594579008</v>
      </c>
      <c r="O95" s="130">
        <f t="shared" si="3"/>
        <v>37.4833297289504</v>
      </c>
    </row>
    <row r="96" spans="1:15" ht="67.5">
      <c r="A96" s="65" t="s">
        <v>18</v>
      </c>
      <c r="B96" s="65" t="s">
        <v>115</v>
      </c>
      <c r="C96" s="65" t="s">
        <v>470</v>
      </c>
      <c r="D96" s="65" t="s">
        <v>18</v>
      </c>
      <c r="E96" s="22" t="s">
        <v>474</v>
      </c>
      <c r="F96" s="22" t="s">
        <v>10</v>
      </c>
      <c r="G96" s="134" t="s">
        <v>135</v>
      </c>
      <c r="H96" s="134" t="s">
        <v>173</v>
      </c>
      <c r="I96" s="134" t="s">
        <v>475</v>
      </c>
      <c r="J96" s="134" t="s">
        <v>142</v>
      </c>
      <c r="K96" s="133">
        <v>269839.7</v>
      </c>
      <c r="L96" s="133">
        <v>269839.7</v>
      </c>
      <c r="M96" s="133">
        <v>269839.7</v>
      </c>
      <c r="N96" s="130">
        <f t="shared" si="2"/>
        <v>100</v>
      </c>
      <c r="O96" s="130">
        <f t="shared" si="3"/>
        <v>100</v>
      </c>
    </row>
    <row r="97" spans="1:15" ht="78.75">
      <c r="A97" s="65" t="s">
        <v>18</v>
      </c>
      <c r="B97" s="65" t="s">
        <v>115</v>
      </c>
      <c r="C97" s="65" t="s">
        <v>470</v>
      </c>
      <c r="D97" s="65" t="s">
        <v>35</v>
      </c>
      <c r="E97" s="22" t="s">
        <v>503</v>
      </c>
      <c r="F97" s="22" t="s">
        <v>10</v>
      </c>
      <c r="G97" s="134" t="s">
        <v>135</v>
      </c>
      <c r="H97" s="134" t="s">
        <v>173</v>
      </c>
      <c r="I97" s="134" t="s">
        <v>500</v>
      </c>
      <c r="J97" s="134" t="s">
        <v>142</v>
      </c>
      <c r="K97" s="133">
        <v>0</v>
      </c>
      <c r="L97" s="133">
        <v>125000</v>
      </c>
      <c r="M97" s="133">
        <v>0</v>
      </c>
      <c r="N97" s="130">
        <v>0</v>
      </c>
      <c r="O97" s="130">
        <f t="shared" si="3"/>
        <v>0</v>
      </c>
    </row>
    <row r="98" spans="1:15" ht="22.5">
      <c r="A98" s="16">
        <v>2</v>
      </c>
      <c r="B98" s="16">
        <v>3</v>
      </c>
      <c r="C98" s="16"/>
      <c r="D98" s="16"/>
      <c r="E98" s="22" t="s">
        <v>153</v>
      </c>
      <c r="F98" s="7" t="s">
        <v>49</v>
      </c>
      <c r="G98" s="23"/>
      <c r="H98" s="23"/>
      <c r="I98" s="14"/>
      <c r="J98" s="23"/>
      <c r="K98" s="129">
        <f>K99</f>
        <v>270049</v>
      </c>
      <c r="L98" s="129">
        <f>L99</f>
        <v>294209.89999999997</v>
      </c>
      <c r="M98" s="129">
        <f>M99</f>
        <v>104334.59700000001</v>
      </c>
      <c r="N98" s="129">
        <f t="shared" si="2"/>
        <v>38.63543171794749</v>
      </c>
      <c r="O98" s="129">
        <f t="shared" si="3"/>
        <v>35.46263976841025</v>
      </c>
    </row>
    <row r="99" spans="1:15" ht="48">
      <c r="A99" s="16"/>
      <c r="B99" s="16"/>
      <c r="C99" s="16"/>
      <c r="D99" s="16"/>
      <c r="E99" s="22"/>
      <c r="F99" s="9" t="s">
        <v>50</v>
      </c>
      <c r="G99" s="10">
        <v>855</v>
      </c>
      <c r="H99" s="10"/>
      <c r="I99" s="8"/>
      <c r="J99" s="10"/>
      <c r="K99" s="130">
        <f>K100+K102+K104+K106+K109+K113</f>
        <v>270049</v>
      </c>
      <c r="L99" s="130">
        <f>L100+L102+L104+L106+L109+L111+L113</f>
        <v>294209.89999999997</v>
      </c>
      <c r="M99" s="130">
        <f>M100+M102+M104+M106+M109+M111+M113</f>
        <v>104334.59700000001</v>
      </c>
      <c r="N99" s="130">
        <f t="shared" si="2"/>
        <v>38.63543171794749</v>
      </c>
      <c r="O99" s="130">
        <f t="shared" si="3"/>
        <v>35.46263976841025</v>
      </c>
    </row>
    <row r="100" spans="1:15" ht="101.25">
      <c r="A100" s="15" t="s">
        <v>18</v>
      </c>
      <c r="B100" s="15">
        <v>3</v>
      </c>
      <c r="C100" s="15" t="s">
        <v>34</v>
      </c>
      <c r="D100" s="15"/>
      <c r="E100" s="22" t="s">
        <v>33</v>
      </c>
      <c r="F100" s="9" t="s">
        <v>50</v>
      </c>
      <c r="G100" s="10">
        <v>855</v>
      </c>
      <c r="H100" s="10" t="s">
        <v>112</v>
      </c>
      <c r="I100" s="8" t="s">
        <v>154</v>
      </c>
      <c r="J100" s="12"/>
      <c r="K100" s="130">
        <f>K101</f>
        <v>54134.8</v>
      </c>
      <c r="L100" s="130">
        <f>L101</f>
        <v>58109</v>
      </c>
      <c r="M100" s="130">
        <f>M101</f>
        <v>42318.7</v>
      </c>
      <c r="N100" s="130">
        <f t="shared" si="2"/>
        <v>78.17282044082549</v>
      </c>
      <c r="O100" s="130">
        <f t="shared" si="3"/>
        <v>72.82641243180919</v>
      </c>
    </row>
    <row r="101" spans="1:15" ht="90">
      <c r="A101" s="15" t="s">
        <v>18</v>
      </c>
      <c r="B101" s="15">
        <v>3</v>
      </c>
      <c r="C101" s="15" t="s">
        <v>34</v>
      </c>
      <c r="D101" s="15" t="s">
        <v>34</v>
      </c>
      <c r="E101" s="22" t="s">
        <v>86</v>
      </c>
      <c r="F101" s="9" t="s">
        <v>50</v>
      </c>
      <c r="G101" s="10">
        <v>855</v>
      </c>
      <c r="H101" s="10" t="s">
        <v>112</v>
      </c>
      <c r="I101" s="11" t="s">
        <v>155</v>
      </c>
      <c r="J101" s="11" t="s">
        <v>149</v>
      </c>
      <c r="K101" s="130">
        <v>54134.8</v>
      </c>
      <c r="L101" s="130">
        <v>58109</v>
      </c>
      <c r="M101" s="130">
        <v>42318.7</v>
      </c>
      <c r="N101" s="130">
        <f t="shared" si="2"/>
        <v>78.17282044082549</v>
      </c>
      <c r="O101" s="130">
        <f t="shared" si="3"/>
        <v>72.82641243180919</v>
      </c>
    </row>
    <row r="102" spans="1:15" ht="48">
      <c r="A102" s="15" t="s">
        <v>18</v>
      </c>
      <c r="B102" s="15">
        <v>3</v>
      </c>
      <c r="C102" s="15" t="s">
        <v>22</v>
      </c>
      <c r="D102" s="15"/>
      <c r="E102" s="22" t="s">
        <v>156</v>
      </c>
      <c r="F102" s="9" t="s">
        <v>50</v>
      </c>
      <c r="G102" s="10">
        <v>855</v>
      </c>
      <c r="H102" s="10" t="s">
        <v>54</v>
      </c>
      <c r="I102" s="8" t="s">
        <v>157</v>
      </c>
      <c r="J102" s="10"/>
      <c r="K102" s="130">
        <f>K103</f>
        <v>9000</v>
      </c>
      <c r="L102" s="130">
        <f>L103</f>
        <v>9000</v>
      </c>
      <c r="M102" s="130">
        <f>M103</f>
        <v>4284.995</v>
      </c>
      <c r="N102" s="130">
        <f t="shared" si="2"/>
        <v>47.61105555555555</v>
      </c>
      <c r="O102" s="130">
        <f t="shared" si="3"/>
        <v>47.61105555555555</v>
      </c>
    </row>
    <row r="103" spans="1:15" ht="146.25">
      <c r="A103" s="15" t="s">
        <v>18</v>
      </c>
      <c r="B103" s="15">
        <v>3</v>
      </c>
      <c r="C103" s="15" t="s">
        <v>22</v>
      </c>
      <c r="D103" s="15" t="s">
        <v>34</v>
      </c>
      <c r="E103" s="22" t="s">
        <v>158</v>
      </c>
      <c r="F103" s="9" t="s">
        <v>50</v>
      </c>
      <c r="G103" s="10">
        <v>855</v>
      </c>
      <c r="H103" s="10" t="s">
        <v>54</v>
      </c>
      <c r="I103" s="11" t="s">
        <v>159</v>
      </c>
      <c r="J103" s="11" t="s">
        <v>160</v>
      </c>
      <c r="K103" s="130">
        <v>9000</v>
      </c>
      <c r="L103" s="130">
        <v>9000</v>
      </c>
      <c r="M103" s="130">
        <v>4284.995</v>
      </c>
      <c r="N103" s="130">
        <f t="shared" si="2"/>
        <v>47.61105555555555</v>
      </c>
      <c r="O103" s="130">
        <f t="shared" si="3"/>
        <v>47.61105555555555</v>
      </c>
    </row>
    <row r="104" spans="1:15" ht="48">
      <c r="A104" s="15" t="s">
        <v>18</v>
      </c>
      <c r="B104" s="15">
        <v>3</v>
      </c>
      <c r="C104" s="15" t="s">
        <v>23</v>
      </c>
      <c r="D104" s="15"/>
      <c r="E104" s="22" t="s">
        <v>161</v>
      </c>
      <c r="F104" s="9" t="s">
        <v>50</v>
      </c>
      <c r="G104" s="10">
        <v>855</v>
      </c>
      <c r="H104" s="10" t="s">
        <v>54</v>
      </c>
      <c r="I104" s="8" t="s">
        <v>162</v>
      </c>
      <c r="J104" s="12"/>
      <c r="K104" s="130">
        <f>K105</f>
        <v>16658.9</v>
      </c>
      <c r="L104" s="130">
        <f>L105</f>
        <v>16658.9</v>
      </c>
      <c r="M104" s="130">
        <f>M105</f>
        <v>8003.745</v>
      </c>
      <c r="N104" s="130">
        <f t="shared" si="2"/>
        <v>48.044858904249374</v>
      </c>
      <c r="O104" s="130">
        <f t="shared" si="3"/>
        <v>48.044858904249374</v>
      </c>
    </row>
    <row r="105" spans="1:15" ht="48">
      <c r="A105" s="15" t="s">
        <v>18</v>
      </c>
      <c r="B105" s="15">
        <v>3</v>
      </c>
      <c r="C105" s="15" t="s">
        <v>23</v>
      </c>
      <c r="D105" s="15" t="s">
        <v>34</v>
      </c>
      <c r="E105" s="22" t="s">
        <v>163</v>
      </c>
      <c r="F105" s="9" t="s">
        <v>50</v>
      </c>
      <c r="G105" s="10">
        <v>855</v>
      </c>
      <c r="H105" s="10" t="s">
        <v>54</v>
      </c>
      <c r="I105" s="11" t="s">
        <v>164</v>
      </c>
      <c r="J105" s="11" t="s">
        <v>285</v>
      </c>
      <c r="K105" s="135">
        <v>16658.9</v>
      </c>
      <c r="L105" s="135">
        <v>16658.9</v>
      </c>
      <c r="M105" s="135">
        <v>8003.745</v>
      </c>
      <c r="N105" s="130">
        <f t="shared" si="2"/>
        <v>48.044858904249374</v>
      </c>
      <c r="O105" s="130">
        <f t="shared" si="3"/>
        <v>48.044858904249374</v>
      </c>
    </row>
    <row r="106" spans="1:15" ht="78.75">
      <c r="A106" s="15" t="s">
        <v>18</v>
      </c>
      <c r="B106" s="15">
        <v>3</v>
      </c>
      <c r="C106" s="15" t="s">
        <v>26</v>
      </c>
      <c r="D106" s="15"/>
      <c r="E106" s="22" t="s">
        <v>165</v>
      </c>
      <c r="F106" s="9" t="s">
        <v>50</v>
      </c>
      <c r="G106" s="10">
        <v>855</v>
      </c>
      <c r="H106" s="10" t="s">
        <v>54</v>
      </c>
      <c r="I106" s="11" t="s">
        <v>166</v>
      </c>
      <c r="J106" s="13"/>
      <c r="K106" s="135">
        <f>K107+K108</f>
        <v>8142.5</v>
      </c>
      <c r="L106" s="135">
        <f>L107+L108</f>
        <v>21120.7</v>
      </c>
      <c r="M106" s="135">
        <f>M107+M108</f>
        <v>4047.3289999999997</v>
      </c>
      <c r="N106" s="130">
        <f t="shared" si="2"/>
        <v>49.70622044826527</v>
      </c>
      <c r="O106" s="130">
        <f t="shared" si="3"/>
        <v>19.162854450846798</v>
      </c>
    </row>
    <row r="107" spans="1:15" ht="48">
      <c r="A107" s="15" t="s">
        <v>18</v>
      </c>
      <c r="B107" s="15">
        <v>3</v>
      </c>
      <c r="C107" s="15" t="s">
        <v>26</v>
      </c>
      <c r="D107" s="15" t="s">
        <v>34</v>
      </c>
      <c r="E107" s="22" t="s">
        <v>167</v>
      </c>
      <c r="F107" s="9" t="s">
        <v>50</v>
      </c>
      <c r="G107" s="10">
        <v>855</v>
      </c>
      <c r="H107" s="10" t="s">
        <v>54</v>
      </c>
      <c r="I107" s="11" t="s">
        <v>168</v>
      </c>
      <c r="J107" s="12">
        <v>240</v>
      </c>
      <c r="K107" s="135">
        <v>4437.5</v>
      </c>
      <c r="L107" s="135">
        <v>8106.2</v>
      </c>
      <c r="M107" s="135">
        <v>1929.16</v>
      </c>
      <c r="N107" s="130">
        <f t="shared" si="2"/>
        <v>43.47402816901408</v>
      </c>
      <c r="O107" s="130">
        <f t="shared" si="3"/>
        <v>23.79857393106511</v>
      </c>
    </row>
    <row r="108" spans="1:15" ht="56.25">
      <c r="A108" s="15" t="s">
        <v>18</v>
      </c>
      <c r="B108" s="15">
        <v>3</v>
      </c>
      <c r="C108" s="15" t="s">
        <v>26</v>
      </c>
      <c r="D108" s="15" t="s">
        <v>18</v>
      </c>
      <c r="E108" s="22" t="s">
        <v>169</v>
      </c>
      <c r="F108" s="9" t="s">
        <v>50</v>
      </c>
      <c r="G108" s="10">
        <v>855</v>
      </c>
      <c r="H108" s="10" t="s">
        <v>54</v>
      </c>
      <c r="I108" s="11" t="s">
        <v>170</v>
      </c>
      <c r="J108" s="12">
        <v>240</v>
      </c>
      <c r="K108" s="135">
        <v>3705</v>
      </c>
      <c r="L108" s="135">
        <v>13014.5</v>
      </c>
      <c r="M108" s="135">
        <v>2118.169</v>
      </c>
      <c r="N108" s="130">
        <f t="shared" si="2"/>
        <v>57.170553306342775</v>
      </c>
      <c r="O108" s="130">
        <f t="shared" si="3"/>
        <v>16.275454300971994</v>
      </c>
    </row>
    <row r="109" spans="1:15" ht="112.5">
      <c r="A109" s="15" t="s">
        <v>18</v>
      </c>
      <c r="B109" s="15">
        <v>3</v>
      </c>
      <c r="C109" s="15" t="s">
        <v>1</v>
      </c>
      <c r="D109" s="15"/>
      <c r="E109" s="22" t="s">
        <v>2</v>
      </c>
      <c r="F109" s="9" t="s">
        <v>50</v>
      </c>
      <c r="G109" s="10">
        <v>855</v>
      </c>
      <c r="H109" s="8" t="s">
        <v>171</v>
      </c>
      <c r="I109" s="11" t="s">
        <v>172</v>
      </c>
      <c r="J109" s="12"/>
      <c r="K109" s="130">
        <f>K110</f>
        <v>16231</v>
      </c>
      <c r="L109" s="130">
        <f>L110</f>
        <v>20084.7</v>
      </c>
      <c r="M109" s="130">
        <f>M110</f>
        <v>12730.85</v>
      </c>
      <c r="N109" s="130">
        <f t="shared" si="2"/>
        <v>78.43540139239727</v>
      </c>
      <c r="O109" s="130">
        <f t="shared" si="3"/>
        <v>63.385811090033705</v>
      </c>
    </row>
    <row r="110" spans="1:15" ht="90">
      <c r="A110" s="15" t="s">
        <v>18</v>
      </c>
      <c r="B110" s="15">
        <v>3</v>
      </c>
      <c r="C110" s="15" t="s">
        <v>1</v>
      </c>
      <c r="D110" s="15" t="s">
        <v>34</v>
      </c>
      <c r="E110" s="22" t="s">
        <v>86</v>
      </c>
      <c r="F110" s="9" t="s">
        <v>50</v>
      </c>
      <c r="G110" s="10">
        <v>855</v>
      </c>
      <c r="H110" s="8" t="s">
        <v>173</v>
      </c>
      <c r="I110" s="11" t="s">
        <v>174</v>
      </c>
      <c r="J110" s="12">
        <v>611</v>
      </c>
      <c r="K110" s="130">
        <v>16231</v>
      </c>
      <c r="L110" s="130">
        <v>20084.7</v>
      </c>
      <c r="M110" s="130">
        <v>12730.85</v>
      </c>
      <c r="N110" s="130">
        <f t="shared" si="2"/>
        <v>78.43540139239727</v>
      </c>
      <c r="O110" s="130">
        <f t="shared" si="3"/>
        <v>63.385811090033705</v>
      </c>
    </row>
    <row r="111" spans="1:15" ht="56.25">
      <c r="A111" s="15" t="s">
        <v>18</v>
      </c>
      <c r="B111" s="15" t="s">
        <v>438</v>
      </c>
      <c r="C111" s="15" t="s">
        <v>504</v>
      </c>
      <c r="D111" s="15"/>
      <c r="E111" s="22" t="s">
        <v>508</v>
      </c>
      <c r="F111" s="9" t="s">
        <v>50</v>
      </c>
      <c r="G111" s="10" t="s">
        <v>135</v>
      </c>
      <c r="H111" s="8" t="s">
        <v>269</v>
      </c>
      <c r="I111" s="11" t="s">
        <v>506</v>
      </c>
      <c r="J111" s="12"/>
      <c r="K111" s="130">
        <f>K112</f>
        <v>0</v>
      </c>
      <c r="L111" s="130">
        <f>L112</f>
        <v>3354.8</v>
      </c>
      <c r="M111" s="130">
        <f>M112</f>
        <v>2567.698</v>
      </c>
      <c r="N111" s="130">
        <v>0</v>
      </c>
      <c r="O111" s="130">
        <f>M111/L111*100</f>
        <v>76.53803505425061</v>
      </c>
    </row>
    <row r="112" spans="1:15" ht="157.5">
      <c r="A112" s="15" t="s">
        <v>18</v>
      </c>
      <c r="B112" s="15" t="s">
        <v>438</v>
      </c>
      <c r="C112" s="15" t="s">
        <v>504</v>
      </c>
      <c r="D112" s="15" t="s">
        <v>34</v>
      </c>
      <c r="E112" s="22" t="s">
        <v>505</v>
      </c>
      <c r="F112" s="9" t="s">
        <v>50</v>
      </c>
      <c r="G112" s="10" t="s">
        <v>135</v>
      </c>
      <c r="H112" s="8" t="s">
        <v>269</v>
      </c>
      <c r="I112" s="11" t="s">
        <v>507</v>
      </c>
      <c r="J112" s="12" t="s">
        <v>142</v>
      </c>
      <c r="K112" s="130">
        <v>0</v>
      </c>
      <c r="L112" s="130">
        <v>3354.8</v>
      </c>
      <c r="M112" s="130">
        <v>2567.698</v>
      </c>
      <c r="N112" s="130">
        <v>0</v>
      </c>
      <c r="O112" s="130">
        <f>M112/L112*100</f>
        <v>76.53803505425061</v>
      </c>
    </row>
    <row r="113" spans="1:15" ht="67.5">
      <c r="A113" s="15" t="s">
        <v>18</v>
      </c>
      <c r="B113" s="15" t="s">
        <v>438</v>
      </c>
      <c r="C113" s="15" t="s">
        <v>476</v>
      </c>
      <c r="D113" s="15"/>
      <c r="E113" s="22" t="s">
        <v>477</v>
      </c>
      <c r="F113" s="9" t="s">
        <v>50</v>
      </c>
      <c r="G113" s="10" t="s">
        <v>135</v>
      </c>
      <c r="H113" s="8" t="s">
        <v>269</v>
      </c>
      <c r="I113" s="11" t="s">
        <v>478</v>
      </c>
      <c r="J113" s="12"/>
      <c r="K113" s="130">
        <f>K114</f>
        <v>165881.8</v>
      </c>
      <c r="L113" s="130">
        <f>L114</f>
        <v>165881.8</v>
      </c>
      <c r="M113" s="130">
        <f>M114</f>
        <v>30381.28</v>
      </c>
      <c r="N113" s="130">
        <f t="shared" si="2"/>
        <v>18.315017078425726</v>
      </c>
      <c r="O113" s="130">
        <f t="shared" si="3"/>
        <v>18.315017078425726</v>
      </c>
    </row>
    <row r="114" spans="1:15" ht="78.75">
      <c r="A114" s="15" t="s">
        <v>18</v>
      </c>
      <c r="B114" s="15" t="s">
        <v>438</v>
      </c>
      <c r="C114" s="15" t="s">
        <v>476</v>
      </c>
      <c r="D114" s="15" t="s">
        <v>34</v>
      </c>
      <c r="E114" s="22" t="s">
        <v>479</v>
      </c>
      <c r="F114" s="9" t="s">
        <v>50</v>
      </c>
      <c r="G114" s="10" t="s">
        <v>135</v>
      </c>
      <c r="H114" s="8" t="s">
        <v>269</v>
      </c>
      <c r="I114" s="11" t="s">
        <v>480</v>
      </c>
      <c r="J114" s="12" t="s">
        <v>142</v>
      </c>
      <c r="K114" s="130">
        <v>165881.8</v>
      </c>
      <c r="L114" s="130">
        <v>165881.8</v>
      </c>
      <c r="M114" s="130">
        <v>30381.28</v>
      </c>
      <c r="N114" s="130">
        <f t="shared" si="2"/>
        <v>18.315017078425726</v>
      </c>
      <c r="O114" s="130">
        <f t="shared" si="3"/>
        <v>18.315017078425726</v>
      </c>
    </row>
    <row r="115" spans="1:15" ht="45">
      <c r="A115" s="147">
        <v>2</v>
      </c>
      <c r="B115" s="147">
        <v>4</v>
      </c>
      <c r="C115" s="147"/>
      <c r="D115" s="147"/>
      <c r="E115" s="22" t="s">
        <v>175</v>
      </c>
      <c r="F115" s="7" t="s">
        <v>49</v>
      </c>
      <c r="G115" s="23"/>
      <c r="H115" s="23"/>
      <c r="I115" s="14"/>
      <c r="J115" s="23"/>
      <c r="K115" s="129">
        <f aca="true" t="shared" si="4" ref="K115:M116">K116</f>
        <v>214695.9</v>
      </c>
      <c r="L115" s="129">
        <f t="shared" si="4"/>
        <v>248533</v>
      </c>
      <c r="M115" s="129">
        <f t="shared" si="4"/>
        <v>136947.22</v>
      </c>
      <c r="N115" s="129">
        <f t="shared" si="2"/>
        <v>63.78660235244362</v>
      </c>
      <c r="O115" s="129">
        <f t="shared" si="3"/>
        <v>55.102227873159705</v>
      </c>
    </row>
    <row r="116" spans="1:15" ht="48">
      <c r="A116" s="147"/>
      <c r="B116" s="147"/>
      <c r="C116" s="147"/>
      <c r="D116" s="147"/>
      <c r="E116" s="22"/>
      <c r="F116" s="9" t="s">
        <v>10</v>
      </c>
      <c r="G116" s="10">
        <v>855</v>
      </c>
      <c r="H116" s="10"/>
      <c r="I116" s="8"/>
      <c r="J116" s="10"/>
      <c r="K116" s="130">
        <f t="shared" si="4"/>
        <v>214695.9</v>
      </c>
      <c r="L116" s="130">
        <f t="shared" si="4"/>
        <v>248533</v>
      </c>
      <c r="M116" s="130">
        <f t="shared" si="4"/>
        <v>136947.22</v>
      </c>
      <c r="N116" s="130">
        <f t="shared" si="2"/>
        <v>63.78660235244362</v>
      </c>
      <c r="O116" s="130">
        <f t="shared" si="3"/>
        <v>55.102227873159705</v>
      </c>
    </row>
    <row r="117" spans="1:15" ht="48">
      <c r="A117" s="15" t="s">
        <v>18</v>
      </c>
      <c r="B117" s="15">
        <v>4</v>
      </c>
      <c r="C117" s="15" t="s">
        <v>34</v>
      </c>
      <c r="D117" s="16"/>
      <c r="E117" s="22" t="s">
        <v>3</v>
      </c>
      <c r="F117" s="9" t="s">
        <v>50</v>
      </c>
      <c r="G117" s="10">
        <v>855</v>
      </c>
      <c r="H117" s="10" t="s">
        <v>176</v>
      </c>
      <c r="I117" s="8" t="s">
        <v>177</v>
      </c>
      <c r="J117" s="10"/>
      <c r="K117" s="130">
        <f>K118+K119</f>
        <v>214695.9</v>
      </c>
      <c r="L117" s="130">
        <f>L118+L119</f>
        <v>248533</v>
      </c>
      <c r="M117" s="130">
        <f>M118+M119</f>
        <v>136947.22</v>
      </c>
      <c r="N117" s="130">
        <f t="shared" si="2"/>
        <v>63.78660235244362</v>
      </c>
      <c r="O117" s="130">
        <f t="shared" si="3"/>
        <v>55.102227873159705</v>
      </c>
    </row>
    <row r="118" spans="1:15" ht="90">
      <c r="A118" s="15" t="s">
        <v>18</v>
      </c>
      <c r="B118" s="15">
        <v>4</v>
      </c>
      <c r="C118" s="15" t="s">
        <v>34</v>
      </c>
      <c r="D118" s="15" t="s">
        <v>34</v>
      </c>
      <c r="E118" s="22" t="s">
        <v>86</v>
      </c>
      <c r="F118" s="9" t="s">
        <v>50</v>
      </c>
      <c r="G118" s="10">
        <v>855</v>
      </c>
      <c r="H118" s="10" t="s">
        <v>178</v>
      </c>
      <c r="I118" s="11" t="s">
        <v>179</v>
      </c>
      <c r="J118" s="10" t="s">
        <v>122</v>
      </c>
      <c r="K118" s="130">
        <v>206946.9</v>
      </c>
      <c r="L118" s="130">
        <v>218533</v>
      </c>
      <c r="M118" s="130">
        <v>129806.09</v>
      </c>
      <c r="N118" s="130">
        <f t="shared" si="2"/>
        <v>62.72434619701962</v>
      </c>
      <c r="O118" s="130">
        <f t="shared" si="3"/>
        <v>59.398850516855575</v>
      </c>
    </row>
    <row r="119" spans="1:15" ht="56.25">
      <c r="A119" s="15" t="s">
        <v>18</v>
      </c>
      <c r="B119" s="15">
        <v>4</v>
      </c>
      <c r="C119" s="15" t="s">
        <v>34</v>
      </c>
      <c r="D119" s="15" t="s">
        <v>18</v>
      </c>
      <c r="E119" s="22" t="s">
        <v>180</v>
      </c>
      <c r="F119" s="9" t="s">
        <v>50</v>
      </c>
      <c r="G119" s="10">
        <v>855</v>
      </c>
      <c r="H119" s="10" t="s">
        <v>181</v>
      </c>
      <c r="I119" s="11" t="s">
        <v>182</v>
      </c>
      <c r="J119" s="10" t="s">
        <v>183</v>
      </c>
      <c r="K119" s="130">
        <v>7749</v>
      </c>
      <c r="L119" s="130">
        <v>30000</v>
      </c>
      <c r="M119" s="130">
        <v>7141.13</v>
      </c>
      <c r="N119" s="130">
        <f t="shared" si="2"/>
        <v>92.15550393599175</v>
      </c>
      <c r="O119" s="130">
        <f t="shared" si="3"/>
        <v>23.803766666666668</v>
      </c>
    </row>
    <row r="120" spans="1:15" ht="22.5">
      <c r="A120" s="147">
        <v>2</v>
      </c>
      <c r="B120" s="147">
        <v>5</v>
      </c>
      <c r="C120" s="147"/>
      <c r="D120" s="147"/>
      <c r="E120" s="22" t="s">
        <v>17</v>
      </c>
      <c r="F120" s="7" t="s">
        <v>49</v>
      </c>
      <c r="G120" s="23"/>
      <c r="H120" s="23"/>
      <c r="I120" s="14"/>
      <c r="J120" s="12"/>
      <c r="K120" s="129">
        <f>K121</f>
        <v>157403.7</v>
      </c>
      <c r="L120" s="129">
        <f>L121</f>
        <v>144907.6</v>
      </c>
      <c r="M120" s="129">
        <f>M121</f>
        <v>24175.157</v>
      </c>
      <c r="N120" s="129">
        <f t="shared" si="2"/>
        <v>15.35869677777587</v>
      </c>
      <c r="O120" s="129">
        <f t="shared" si="3"/>
        <v>16.68315326456307</v>
      </c>
    </row>
    <row r="121" spans="1:15" ht="48">
      <c r="A121" s="147"/>
      <c r="B121" s="147"/>
      <c r="C121" s="147"/>
      <c r="D121" s="147"/>
      <c r="E121" s="22"/>
      <c r="F121" s="9" t="s">
        <v>50</v>
      </c>
      <c r="G121" s="10">
        <v>855</v>
      </c>
      <c r="H121" s="10"/>
      <c r="I121" s="8"/>
      <c r="J121" s="12"/>
      <c r="K121" s="130">
        <f>K122+K125</f>
        <v>157403.7</v>
      </c>
      <c r="L121" s="130">
        <f>L122+L125+L134</f>
        <v>144907.6</v>
      </c>
      <c r="M121" s="130">
        <f>M122+M125+M134</f>
        <v>24175.157</v>
      </c>
      <c r="N121" s="130">
        <f t="shared" si="2"/>
        <v>15.35869677777587</v>
      </c>
      <c r="O121" s="130">
        <f t="shared" si="3"/>
        <v>16.68315326456307</v>
      </c>
    </row>
    <row r="122" spans="1:15" ht="48">
      <c r="A122" s="15" t="s">
        <v>18</v>
      </c>
      <c r="B122" s="15">
        <v>5</v>
      </c>
      <c r="C122" s="15" t="s">
        <v>34</v>
      </c>
      <c r="D122" s="16"/>
      <c r="E122" s="22" t="s">
        <v>17</v>
      </c>
      <c r="F122" s="9" t="s">
        <v>50</v>
      </c>
      <c r="G122" s="10">
        <v>855</v>
      </c>
      <c r="H122" s="23"/>
      <c r="I122" s="8" t="s">
        <v>184</v>
      </c>
      <c r="J122" s="12"/>
      <c r="K122" s="130">
        <f>K123+K124</f>
        <v>33308.4</v>
      </c>
      <c r="L122" s="130">
        <f>L123+L124</f>
        <v>17812.3</v>
      </c>
      <c r="M122" s="130">
        <f>M123+M124</f>
        <v>11602.6</v>
      </c>
      <c r="N122" s="130">
        <f t="shared" si="2"/>
        <v>34.833855724081616</v>
      </c>
      <c r="O122" s="130">
        <f t="shared" si="3"/>
        <v>65.1381348843215</v>
      </c>
    </row>
    <row r="123" spans="1:15" ht="56.25">
      <c r="A123" s="15" t="s">
        <v>18</v>
      </c>
      <c r="B123" s="15">
        <v>5</v>
      </c>
      <c r="C123" s="15" t="s">
        <v>34</v>
      </c>
      <c r="D123" s="15" t="s">
        <v>34</v>
      </c>
      <c r="E123" s="22" t="s">
        <v>185</v>
      </c>
      <c r="F123" s="9" t="s">
        <v>50</v>
      </c>
      <c r="G123" s="10">
        <v>855</v>
      </c>
      <c r="H123" s="10" t="s">
        <v>186</v>
      </c>
      <c r="I123" s="11" t="s">
        <v>187</v>
      </c>
      <c r="J123" s="12" t="s">
        <v>188</v>
      </c>
      <c r="K123" s="130">
        <v>0</v>
      </c>
      <c r="L123" s="130">
        <v>0</v>
      </c>
      <c r="M123" s="130">
        <v>0</v>
      </c>
      <c r="N123" s="130">
        <v>0</v>
      </c>
      <c r="O123" s="130">
        <v>0</v>
      </c>
    </row>
    <row r="124" spans="1:15" ht="90">
      <c r="A124" s="15" t="s">
        <v>18</v>
      </c>
      <c r="B124" s="15">
        <v>5</v>
      </c>
      <c r="C124" s="15" t="s">
        <v>34</v>
      </c>
      <c r="D124" s="15" t="s">
        <v>18</v>
      </c>
      <c r="E124" s="22" t="s">
        <v>86</v>
      </c>
      <c r="F124" s="9" t="s">
        <v>50</v>
      </c>
      <c r="G124" s="10">
        <v>855</v>
      </c>
      <c r="H124" s="10" t="s">
        <v>186</v>
      </c>
      <c r="I124" s="11" t="s">
        <v>189</v>
      </c>
      <c r="J124" s="12" t="s">
        <v>122</v>
      </c>
      <c r="K124" s="130">
        <v>33308.4</v>
      </c>
      <c r="L124" s="130">
        <v>17812.3</v>
      </c>
      <c r="M124" s="130">
        <v>11602.6</v>
      </c>
      <c r="N124" s="130">
        <f t="shared" si="2"/>
        <v>34.833855724081616</v>
      </c>
      <c r="O124" s="130">
        <f t="shared" si="3"/>
        <v>65.1381348843215</v>
      </c>
    </row>
    <row r="125" spans="1:15" ht="48">
      <c r="A125" s="15" t="s">
        <v>18</v>
      </c>
      <c r="B125" s="15">
        <v>5</v>
      </c>
      <c r="C125" s="15" t="s">
        <v>18</v>
      </c>
      <c r="D125" s="15"/>
      <c r="E125" s="22" t="s">
        <v>190</v>
      </c>
      <c r="F125" s="9" t="s">
        <v>50</v>
      </c>
      <c r="G125" s="10">
        <v>855</v>
      </c>
      <c r="H125" s="12" t="s">
        <v>286</v>
      </c>
      <c r="I125" s="11" t="s">
        <v>191</v>
      </c>
      <c r="J125" s="12"/>
      <c r="K125" s="130">
        <f>K126+K127+K128+K129+K130+K131+K132+K133</f>
        <v>124095.3</v>
      </c>
      <c r="L125" s="130">
        <f>L126+L127+L128+L129+L130+L131+L132+L133</f>
        <v>95650.2</v>
      </c>
      <c r="M125" s="130">
        <f>M126+M127+M128+M129+M130+M131+M132+M133</f>
        <v>314.65</v>
      </c>
      <c r="N125" s="130">
        <f t="shared" si="2"/>
        <v>0.25355513061332696</v>
      </c>
      <c r="O125" s="130">
        <f t="shared" si="3"/>
        <v>0.32895906124608204</v>
      </c>
    </row>
    <row r="126" spans="1:15" ht="146.25">
      <c r="A126" s="151" t="s">
        <v>18</v>
      </c>
      <c r="B126" s="151">
        <v>5</v>
      </c>
      <c r="C126" s="151" t="s">
        <v>18</v>
      </c>
      <c r="D126" s="151" t="s">
        <v>34</v>
      </c>
      <c r="E126" s="22" t="s">
        <v>192</v>
      </c>
      <c r="F126" s="9" t="s">
        <v>50</v>
      </c>
      <c r="G126" s="10">
        <v>855</v>
      </c>
      <c r="H126" s="10" t="s">
        <v>112</v>
      </c>
      <c r="I126" s="11" t="s">
        <v>512</v>
      </c>
      <c r="J126" s="12" t="s">
        <v>193</v>
      </c>
      <c r="K126" s="130">
        <v>4067.9</v>
      </c>
      <c r="L126" s="130">
        <v>618.6</v>
      </c>
      <c r="M126" s="130">
        <v>283.14</v>
      </c>
      <c r="N126" s="130">
        <f t="shared" si="2"/>
        <v>6.9603480911526825</v>
      </c>
      <c r="O126" s="130">
        <f t="shared" si="3"/>
        <v>45.77109602327837</v>
      </c>
    </row>
    <row r="127" spans="1:15" ht="48">
      <c r="A127" s="152"/>
      <c r="B127" s="152"/>
      <c r="C127" s="152"/>
      <c r="D127" s="152"/>
      <c r="E127" s="22"/>
      <c r="F127" s="9" t="s">
        <v>50</v>
      </c>
      <c r="G127" s="10">
        <v>855</v>
      </c>
      <c r="H127" s="10" t="s">
        <v>81</v>
      </c>
      <c r="I127" s="11" t="s">
        <v>512</v>
      </c>
      <c r="J127" s="12" t="s">
        <v>193</v>
      </c>
      <c r="K127" s="130">
        <v>22380.7</v>
      </c>
      <c r="L127" s="130">
        <v>0</v>
      </c>
      <c r="M127" s="130">
        <v>0</v>
      </c>
      <c r="N127" s="130">
        <f t="shared" si="2"/>
        <v>0</v>
      </c>
      <c r="O127" s="130">
        <v>0</v>
      </c>
    </row>
    <row r="128" spans="1:15" ht="48">
      <c r="A128" s="152"/>
      <c r="B128" s="152"/>
      <c r="C128" s="152"/>
      <c r="D128" s="152"/>
      <c r="E128" s="22"/>
      <c r="F128" s="9" t="s">
        <v>50</v>
      </c>
      <c r="G128" s="10">
        <v>855</v>
      </c>
      <c r="H128" s="10" t="s">
        <v>150</v>
      </c>
      <c r="I128" s="11" t="s">
        <v>512</v>
      </c>
      <c r="J128" s="12" t="s">
        <v>193</v>
      </c>
      <c r="K128" s="130">
        <v>77.1</v>
      </c>
      <c r="L128" s="130">
        <v>0</v>
      </c>
      <c r="M128" s="130">
        <v>0</v>
      </c>
      <c r="N128" s="130">
        <f t="shared" si="2"/>
        <v>0</v>
      </c>
      <c r="O128" s="130">
        <v>0</v>
      </c>
    </row>
    <row r="129" spans="1:15" ht="48">
      <c r="A129" s="152"/>
      <c r="B129" s="152"/>
      <c r="C129" s="152"/>
      <c r="D129" s="152"/>
      <c r="E129" s="22"/>
      <c r="F129" s="9" t="s">
        <v>50</v>
      </c>
      <c r="G129" s="10">
        <v>855</v>
      </c>
      <c r="H129" s="10" t="s">
        <v>119</v>
      </c>
      <c r="I129" s="11" t="s">
        <v>512</v>
      </c>
      <c r="J129" s="12" t="s">
        <v>193</v>
      </c>
      <c r="K129" s="130">
        <v>544.2</v>
      </c>
      <c r="L129" s="130">
        <v>0</v>
      </c>
      <c r="M129" s="130">
        <v>0</v>
      </c>
      <c r="N129" s="130">
        <f t="shared" si="2"/>
        <v>0</v>
      </c>
      <c r="O129" s="130">
        <v>0</v>
      </c>
    </row>
    <row r="130" spans="1:15" ht="48">
      <c r="A130" s="152"/>
      <c r="B130" s="152"/>
      <c r="C130" s="152"/>
      <c r="D130" s="152"/>
      <c r="E130" s="22"/>
      <c r="F130" s="9" t="s">
        <v>50</v>
      </c>
      <c r="G130" s="10">
        <v>855</v>
      </c>
      <c r="H130" s="10" t="s">
        <v>178</v>
      </c>
      <c r="I130" s="11" t="s">
        <v>512</v>
      </c>
      <c r="J130" s="12" t="s">
        <v>193</v>
      </c>
      <c r="K130" s="130">
        <v>1881.5</v>
      </c>
      <c r="L130" s="130">
        <v>0</v>
      </c>
      <c r="M130" s="130">
        <v>0</v>
      </c>
      <c r="N130" s="130">
        <f t="shared" si="2"/>
        <v>0</v>
      </c>
      <c r="O130" s="130">
        <v>0</v>
      </c>
    </row>
    <row r="131" spans="1:15" s="116" customFormat="1" ht="48">
      <c r="A131" s="153"/>
      <c r="B131" s="153"/>
      <c r="C131" s="153"/>
      <c r="D131" s="153"/>
      <c r="E131" s="111"/>
      <c r="F131" s="112" t="s">
        <v>50</v>
      </c>
      <c r="G131" s="113">
        <v>855</v>
      </c>
      <c r="H131" s="113" t="s">
        <v>54</v>
      </c>
      <c r="I131" s="114" t="s">
        <v>512</v>
      </c>
      <c r="J131" s="115" t="s">
        <v>193</v>
      </c>
      <c r="K131" s="131">
        <v>143.9</v>
      </c>
      <c r="L131" s="131">
        <v>31.6</v>
      </c>
      <c r="M131" s="131">
        <v>31.51</v>
      </c>
      <c r="N131" s="131">
        <f t="shared" si="2"/>
        <v>21.897150799166088</v>
      </c>
      <c r="O131" s="131">
        <f t="shared" si="3"/>
        <v>99.71518987341771</v>
      </c>
    </row>
    <row r="132" spans="1:15" ht="123.75">
      <c r="A132" s="151" t="s">
        <v>18</v>
      </c>
      <c r="B132" s="151" t="s">
        <v>194</v>
      </c>
      <c r="C132" s="151" t="s">
        <v>18</v>
      </c>
      <c r="D132" s="151" t="s">
        <v>18</v>
      </c>
      <c r="E132" s="22" t="s">
        <v>195</v>
      </c>
      <c r="F132" s="156" t="s">
        <v>50</v>
      </c>
      <c r="G132" s="162">
        <v>855</v>
      </c>
      <c r="H132" s="8" t="s">
        <v>280</v>
      </c>
      <c r="I132" s="11" t="s">
        <v>196</v>
      </c>
      <c r="J132" s="12" t="s">
        <v>287</v>
      </c>
      <c r="K132" s="130">
        <v>95000</v>
      </c>
      <c r="L132" s="130">
        <v>95000</v>
      </c>
      <c r="M132" s="130">
        <v>0</v>
      </c>
      <c r="N132" s="130">
        <f t="shared" si="2"/>
        <v>0</v>
      </c>
      <c r="O132" s="130">
        <f t="shared" si="3"/>
        <v>0</v>
      </c>
    </row>
    <row r="133" spans="1:15" ht="15">
      <c r="A133" s="153"/>
      <c r="B133" s="153"/>
      <c r="C133" s="153"/>
      <c r="D133" s="153"/>
      <c r="E133" s="22"/>
      <c r="F133" s="157"/>
      <c r="G133" s="163"/>
      <c r="H133" s="10">
        <v>1003</v>
      </c>
      <c r="I133" s="11" t="s">
        <v>197</v>
      </c>
      <c r="J133" s="12">
        <v>310</v>
      </c>
      <c r="K133" s="130">
        <v>0</v>
      </c>
      <c r="L133" s="130">
        <v>0</v>
      </c>
      <c r="M133" s="130">
        <v>0</v>
      </c>
      <c r="N133" s="130">
        <v>0</v>
      </c>
      <c r="O133" s="130">
        <v>0</v>
      </c>
    </row>
    <row r="134" spans="1:15" ht="67.5">
      <c r="A134" s="15" t="s">
        <v>18</v>
      </c>
      <c r="B134" s="15">
        <v>5</v>
      </c>
      <c r="C134" s="15" t="s">
        <v>509</v>
      </c>
      <c r="D134" s="15"/>
      <c r="E134" s="22" t="s">
        <v>516</v>
      </c>
      <c r="F134" s="9" t="s">
        <v>50</v>
      </c>
      <c r="G134" s="10">
        <v>855</v>
      </c>
      <c r="H134" s="12" t="s">
        <v>286</v>
      </c>
      <c r="I134" s="11" t="s">
        <v>510</v>
      </c>
      <c r="J134" s="12"/>
      <c r="K134" s="130">
        <f>K135+K136+K137+K138+K139+K140</f>
        <v>0</v>
      </c>
      <c r="L134" s="130">
        <f>L135+L136+L137+L138+L139+L140+L141</f>
        <v>31445.1</v>
      </c>
      <c r="M134" s="130">
        <f>M135+M136+M137+M138+M139+M140+M141</f>
        <v>12257.907</v>
      </c>
      <c r="N134" s="130">
        <v>0</v>
      </c>
      <c r="O134" s="130">
        <f aca="true" t="shared" si="5" ref="O134:O141">M134/L134*100</f>
        <v>38.98193041205148</v>
      </c>
    </row>
    <row r="135" spans="1:15" ht="146.25">
      <c r="A135" s="151" t="s">
        <v>18</v>
      </c>
      <c r="B135" s="151">
        <v>5</v>
      </c>
      <c r="C135" s="151" t="s">
        <v>509</v>
      </c>
      <c r="D135" s="151" t="s">
        <v>34</v>
      </c>
      <c r="E135" s="22" t="s">
        <v>192</v>
      </c>
      <c r="F135" s="9" t="s">
        <v>50</v>
      </c>
      <c r="G135" s="10">
        <v>855</v>
      </c>
      <c r="H135" s="10" t="s">
        <v>112</v>
      </c>
      <c r="I135" s="11" t="s">
        <v>511</v>
      </c>
      <c r="J135" s="12" t="s">
        <v>193</v>
      </c>
      <c r="K135" s="130">
        <v>0</v>
      </c>
      <c r="L135" s="130">
        <v>3449.3</v>
      </c>
      <c r="M135" s="130">
        <v>1616.8</v>
      </c>
      <c r="N135" s="130">
        <v>0</v>
      </c>
      <c r="O135" s="130">
        <f t="shared" si="5"/>
        <v>46.87327863624503</v>
      </c>
    </row>
    <row r="136" spans="1:15" ht="48">
      <c r="A136" s="152"/>
      <c r="B136" s="152"/>
      <c r="C136" s="152"/>
      <c r="D136" s="152"/>
      <c r="E136" s="22"/>
      <c r="F136" s="9" t="s">
        <v>50</v>
      </c>
      <c r="G136" s="10">
        <v>855</v>
      </c>
      <c r="H136" s="10" t="s">
        <v>81</v>
      </c>
      <c r="I136" s="11" t="s">
        <v>511</v>
      </c>
      <c r="J136" s="12" t="s">
        <v>193</v>
      </c>
      <c r="K136" s="130">
        <v>0</v>
      </c>
      <c r="L136" s="130">
        <v>22349.1</v>
      </c>
      <c r="M136" s="130">
        <v>9309.07</v>
      </c>
      <c r="N136" s="130">
        <v>0</v>
      </c>
      <c r="O136" s="130">
        <f t="shared" si="5"/>
        <v>41.65299721241571</v>
      </c>
    </row>
    <row r="137" spans="1:15" ht="48">
      <c r="A137" s="152"/>
      <c r="B137" s="152"/>
      <c r="C137" s="152"/>
      <c r="D137" s="152"/>
      <c r="E137" s="22"/>
      <c r="F137" s="9" t="s">
        <v>50</v>
      </c>
      <c r="G137" s="10">
        <v>855</v>
      </c>
      <c r="H137" s="10" t="s">
        <v>150</v>
      </c>
      <c r="I137" s="11" t="s">
        <v>511</v>
      </c>
      <c r="J137" s="12" t="s">
        <v>193</v>
      </c>
      <c r="K137" s="130">
        <v>0</v>
      </c>
      <c r="L137" s="130">
        <v>77.1</v>
      </c>
      <c r="M137" s="130">
        <v>36.915</v>
      </c>
      <c r="N137" s="130">
        <v>0</v>
      </c>
      <c r="O137" s="130">
        <f t="shared" si="5"/>
        <v>47.87937743190662</v>
      </c>
    </row>
    <row r="138" spans="1:15" ht="48">
      <c r="A138" s="152"/>
      <c r="B138" s="152"/>
      <c r="C138" s="152"/>
      <c r="D138" s="152"/>
      <c r="E138" s="22"/>
      <c r="F138" s="9" t="s">
        <v>50</v>
      </c>
      <c r="G138" s="10">
        <v>855</v>
      </c>
      <c r="H138" s="10" t="s">
        <v>119</v>
      </c>
      <c r="I138" s="11" t="s">
        <v>511</v>
      </c>
      <c r="J138" s="12" t="s">
        <v>193</v>
      </c>
      <c r="K138" s="130">
        <v>0</v>
      </c>
      <c r="L138" s="130">
        <v>544.2</v>
      </c>
      <c r="M138" s="130">
        <v>262.921</v>
      </c>
      <c r="N138" s="130">
        <v>0</v>
      </c>
      <c r="O138" s="130">
        <f t="shared" si="5"/>
        <v>48.3133039323778</v>
      </c>
    </row>
    <row r="139" spans="1:15" ht="48">
      <c r="A139" s="152"/>
      <c r="B139" s="152"/>
      <c r="C139" s="152"/>
      <c r="D139" s="152"/>
      <c r="E139" s="22"/>
      <c r="F139" s="9" t="s">
        <v>50</v>
      </c>
      <c r="G139" s="10">
        <v>855</v>
      </c>
      <c r="H139" s="10" t="s">
        <v>178</v>
      </c>
      <c r="I139" s="11" t="s">
        <v>511</v>
      </c>
      <c r="J139" s="12" t="s">
        <v>193</v>
      </c>
      <c r="K139" s="130">
        <v>0</v>
      </c>
      <c r="L139" s="130">
        <v>1881.5</v>
      </c>
      <c r="M139" s="130">
        <v>981.201</v>
      </c>
      <c r="N139" s="130">
        <v>0</v>
      </c>
      <c r="O139" s="130">
        <f t="shared" si="5"/>
        <v>52.14993356364603</v>
      </c>
    </row>
    <row r="140" spans="1:15" ht="48">
      <c r="A140" s="153"/>
      <c r="B140" s="153"/>
      <c r="C140" s="153"/>
      <c r="D140" s="153"/>
      <c r="E140" s="22"/>
      <c r="F140" s="9" t="s">
        <v>50</v>
      </c>
      <c r="G140" s="10">
        <v>855</v>
      </c>
      <c r="H140" s="10" t="s">
        <v>54</v>
      </c>
      <c r="I140" s="11" t="s">
        <v>511</v>
      </c>
      <c r="J140" s="12" t="s">
        <v>193</v>
      </c>
      <c r="K140" s="130">
        <v>0</v>
      </c>
      <c r="L140" s="130">
        <v>143.9</v>
      </c>
      <c r="M140" s="130">
        <v>51</v>
      </c>
      <c r="N140" s="130">
        <v>0</v>
      </c>
      <c r="O140" s="130">
        <f t="shared" si="5"/>
        <v>35.44127866574009</v>
      </c>
    </row>
    <row r="141" spans="1:15" ht="48">
      <c r="A141" s="70" t="s">
        <v>18</v>
      </c>
      <c r="B141" s="70" t="s">
        <v>194</v>
      </c>
      <c r="C141" s="70" t="s">
        <v>509</v>
      </c>
      <c r="D141" s="70" t="s">
        <v>18</v>
      </c>
      <c r="E141" s="22" t="s">
        <v>515</v>
      </c>
      <c r="F141" s="9" t="s">
        <v>50</v>
      </c>
      <c r="G141" s="10">
        <v>855</v>
      </c>
      <c r="H141" s="10" t="s">
        <v>150</v>
      </c>
      <c r="I141" s="11" t="s">
        <v>513</v>
      </c>
      <c r="J141" s="12" t="s">
        <v>514</v>
      </c>
      <c r="K141" s="130">
        <v>0</v>
      </c>
      <c r="L141" s="130">
        <v>3000</v>
      </c>
      <c r="M141" s="130">
        <v>0</v>
      </c>
      <c r="N141" s="130">
        <v>0</v>
      </c>
      <c r="O141" s="130">
        <f t="shared" si="5"/>
        <v>0</v>
      </c>
    </row>
    <row r="142" spans="1:15" ht="45">
      <c r="A142" s="158" t="s">
        <v>18</v>
      </c>
      <c r="B142" s="158">
        <v>6</v>
      </c>
      <c r="C142" s="158"/>
      <c r="D142" s="158"/>
      <c r="E142" s="22" t="s">
        <v>198</v>
      </c>
      <c r="F142" s="7" t="s">
        <v>49</v>
      </c>
      <c r="G142" s="10"/>
      <c r="H142" s="10"/>
      <c r="I142" s="8"/>
      <c r="J142" s="12"/>
      <c r="K142" s="129">
        <f>K143</f>
        <v>150440.2</v>
      </c>
      <c r="L142" s="129">
        <f>L143</f>
        <v>266749</v>
      </c>
      <c r="M142" s="129">
        <f>M143</f>
        <v>87086.87000000001</v>
      </c>
      <c r="N142" s="129">
        <f t="shared" si="2"/>
        <v>57.88803125760269</v>
      </c>
      <c r="O142" s="129">
        <f t="shared" si="3"/>
        <v>32.64749633550642</v>
      </c>
    </row>
    <row r="143" spans="1:15" ht="48">
      <c r="A143" s="159"/>
      <c r="B143" s="159"/>
      <c r="C143" s="159"/>
      <c r="D143" s="159"/>
      <c r="E143" s="22"/>
      <c r="F143" s="9" t="s">
        <v>50</v>
      </c>
      <c r="G143" s="10">
        <v>855</v>
      </c>
      <c r="H143" s="10"/>
      <c r="I143" s="8"/>
      <c r="J143" s="12"/>
      <c r="K143" s="130">
        <f>K144+K146+K151</f>
        <v>150440.2</v>
      </c>
      <c r="L143" s="130">
        <f>L144+L146+L151</f>
        <v>266749</v>
      </c>
      <c r="M143" s="130">
        <f>M144+M146+M151</f>
        <v>87086.87000000001</v>
      </c>
      <c r="N143" s="130">
        <f t="shared" si="2"/>
        <v>57.88803125760269</v>
      </c>
      <c r="O143" s="130">
        <f t="shared" si="3"/>
        <v>32.64749633550642</v>
      </c>
    </row>
    <row r="144" spans="1:15" ht="135">
      <c r="A144" s="15" t="s">
        <v>18</v>
      </c>
      <c r="B144" s="15">
        <v>6</v>
      </c>
      <c r="C144" s="15" t="s">
        <v>18</v>
      </c>
      <c r="D144" s="16"/>
      <c r="E144" s="22" t="s">
        <v>199</v>
      </c>
      <c r="F144" s="9" t="s">
        <v>10</v>
      </c>
      <c r="G144" s="10">
        <v>855</v>
      </c>
      <c r="H144" s="10" t="s">
        <v>54</v>
      </c>
      <c r="I144" s="11" t="s">
        <v>200</v>
      </c>
      <c r="J144" s="12"/>
      <c r="K144" s="130">
        <f>K145</f>
        <v>101700</v>
      </c>
      <c r="L144" s="130">
        <f>L145</f>
        <v>101700</v>
      </c>
      <c r="M144" s="130">
        <f>M145</f>
        <v>50157.62</v>
      </c>
      <c r="N144" s="130">
        <f t="shared" si="2"/>
        <v>49.319193706981316</v>
      </c>
      <c r="O144" s="130">
        <f t="shared" si="3"/>
        <v>49.319193706981316</v>
      </c>
    </row>
    <row r="145" spans="1:15" ht="146.25">
      <c r="A145" s="15" t="s">
        <v>18</v>
      </c>
      <c r="B145" s="15">
        <v>6</v>
      </c>
      <c r="C145" s="15" t="s">
        <v>18</v>
      </c>
      <c r="D145" s="15" t="s">
        <v>34</v>
      </c>
      <c r="E145" s="22" t="s">
        <v>201</v>
      </c>
      <c r="F145" s="9" t="s">
        <v>10</v>
      </c>
      <c r="G145" s="10">
        <v>855</v>
      </c>
      <c r="H145" s="10" t="s">
        <v>54</v>
      </c>
      <c r="I145" s="11" t="s">
        <v>202</v>
      </c>
      <c r="J145" s="12">
        <v>240</v>
      </c>
      <c r="K145" s="130">
        <v>101700</v>
      </c>
      <c r="L145" s="130">
        <v>101700</v>
      </c>
      <c r="M145" s="130">
        <v>50157.62</v>
      </c>
      <c r="N145" s="130">
        <f t="shared" si="2"/>
        <v>49.319193706981316</v>
      </c>
      <c r="O145" s="130">
        <f t="shared" si="3"/>
        <v>49.319193706981316</v>
      </c>
    </row>
    <row r="146" spans="1:15" ht="90">
      <c r="A146" s="15" t="s">
        <v>18</v>
      </c>
      <c r="B146" s="15">
        <v>6</v>
      </c>
      <c r="C146" s="15" t="s">
        <v>35</v>
      </c>
      <c r="D146" s="15"/>
      <c r="E146" s="22" t="s">
        <v>4</v>
      </c>
      <c r="F146" s="9" t="s">
        <v>10</v>
      </c>
      <c r="G146" s="10">
        <v>855</v>
      </c>
      <c r="H146" s="10" t="s">
        <v>81</v>
      </c>
      <c r="I146" s="11" t="s">
        <v>203</v>
      </c>
      <c r="J146" s="12"/>
      <c r="K146" s="130">
        <f>K147+K148+K149</f>
        <v>45294</v>
      </c>
      <c r="L146" s="130">
        <f>L147+L148+L149+L150</f>
        <v>161602.8</v>
      </c>
      <c r="M146" s="130">
        <f>M147+M148+M149</f>
        <v>35895.39</v>
      </c>
      <c r="N146" s="130">
        <f t="shared" si="2"/>
        <v>79.24976818121606</v>
      </c>
      <c r="O146" s="130">
        <f t="shared" si="3"/>
        <v>22.21210894860733</v>
      </c>
    </row>
    <row r="147" spans="1:15" ht="90">
      <c r="A147" s="15" t="s">
        <v>18</v>
      </c>
      <c r="B147" s="15">
        <v>6</v>
      </c>
      <c r="C147" s="15" t="s">
        <v>35</v>
      </c>
      <c r="D147" s="15" t="s">
        <v>34</v>
      </c>
      <c r="E147" s="22" t="s">
        <v>86</v>
      </c>
      <c r="F147" s="9" t="s">
        <v>10</v>
      </c>
      <c r="G147" s="10">
        <v>855</v>
      </c>
      <c r="H147" s="10" t="s">
        <v>81</v>
      </c>
      <c r="I147" s="11" t="s">
        <v>204</v>
      </c>
      <c r="J147" s="12">
        <v>611</v>
      </c>
      <c r="K147" s="130">
        <v>6309.8</v>
      </c>
      <c r="L147" s="130">
        <v>72074.4</v>
      </c>
      <c r="M147" s="130">
        <v>13561.99</v>
      </c>
      <c r="N147" s="130">
        <f>M147/K147*100</f>
        <v>214.9353386795144</v>
      </c>
      <c r="O147" s="130">
        <f t="shared" si="3"/>
        <v>18.81665334709689</v>
      </c>
    </row>
    <row r="148" spans="1:15" ht="180">
      <c r="A148" s="15" t="s">
        <v>18</v>
      </c>
      <c r="B148" s="15">
        <v>6</v>
      </c>
      <c r="C148" s="15" t="s">
        <v>35</v>
      </c>
      <c r="D148" s="15" t="s">
        <v>18</v>
      </c>
      <c r="E148" s="22" t="s">
        <v>205</v>
      </c>
      <c r="F148" s="9" t="s">
        <v>10</v>
      </c>
      <c r="G148" s="10">
        <v>855</v>
      </c>
      <c r="H148" s="10" t="s">
        <v>81</v>
      </c>
      <c r="I148" s="11" t="s">
        <v>206</v>
      </c>
      <c r="J148" s="12">
        <v>240</v>
      </c>
      <c r="K148" s="130">
        <v>19784.2</v>
      </c>
      <c r="L148" s="130">
        <v>60068.4</v>
      </c>
      <c r="M148" s="130">
        <v>17114.5</v>
      </c>
      <c r="N148" s="130">
        <f t="shared" si="2"/>
        <v>86.5058986463946</v>
      </c>
      <c r="O148" s="130">
        <f t="shared" si="3"/>
        <v>28.49168614446198</v>
      </c>
    </row>
    <row r="149" spans="1:15" ht="168.75">
      <c r="A149" s="15" t="s">
        <v>18</v>
      </c>
      <c r="B149" s="15">
        <v>6</v>
      </c>
      <c r="C149" s="15" t="s">
        <v>35</v>
      </c>
      <c r="D149" s="15" t="s">
        <v>35</v>
      </c>
      <c r="E149" s="22" t="s">
        <v>207</v>
      </c>
      <c r="F149" s="9" t="s">
        <v>10</v>
      </c>
      <c r="G149" s="10">
        <v>855</v>
      </c>
      <c r="H149" s="10" t="s">
        <v>81</v>
      </c>
      <c r="I149" s="11" t="s">
        <v>208</v>
      </c>
      <c r="J149" s="12">
        <v>240</v>
      </c>
      <c r="K149" s="130">
        <v>19200</v>
      </c>
      <c r="L149" s="130">
        <v>19200</v>
      </c>
      <c r="M149" s="130">
        <v>5218.9</v>
      </c>
      <c r="N149" s="130">
        <f t="shared" si="2"/>
        <v>27.18177083333333</v>
      </c>
      <c r="O149" s="130">
        <f t="shared" si="3"/>
        <v>27.18177083333333</v>
      </c>
    </row>
    <row r="150" spans="1:15" ht="48">
      <c r="A150" s="15" t="s">
        <v>18</v>
      </c>
      <c r="B150" s="15">
        <v>6</v>
      </c>
      <c r="C150" s="15" t="s">
        <v>35</v>
      </c>
      <c r="D150" s="15" t="s">
        <v>22</v>
      </c>
      <c r="E150" s="22" t="s">
        <v>518</v>
      </c>
      <c r="F150" s="9" t="s">
        <v>10</v>
      </c>
      <c r="G150" s="10">
        <v>855</v>
      </c>
      <c r="H150" s="10" t="s">
        <v>81</v>
      </c>
      <c r="I150" s="11" t="s">
        <v>517</v>
      </c>
      <c r="J150" s="12">
        <v>240</v>
      </c>
      <c r="K150" s="130">
        <v>0</v>
      </c>
      <c r="L150" s="130">
        <v>10260</v>
      </c>
      <c r="M150" s="130">
        <v>0</v>
      </c>
      <c r="N150" s="130">
        <v>0</v>
      </c>
      <c r="O150" s="130">
        <f>M150/L150*100</f>
        <v>0</v>
      </c>
    </row>
    <row r="151" spans="1:15" ht="281.25">
      <c r="A151" s="65" t="s">
        <v>18</v>
      </c>
      <c r="B151" s="65" t="s">
        <v>481</v>
      </c>
      <c r="C151" s="65" t="s">
        <v>22</v>
      </c>
      <c r="D151" s="65"/>
      <c r="E151" s="22" t="s">
        <v>482</v>
      </c>
      <c r="F151" s="22" t="s">
        <v>10</v>
      </c>
      <c r="G151" s="10" t="s">
        <v>135</v>
      </c>
      <c r="H151" s="10" t="s">
        <v>173</v>
      </c>
      <c r="I151" s="11" t="s">
        <v>483</v>
      </c>
      <c r="J151" s="12"/>
      <c r="K151" s="130">
        <f>K152</f>
        <v>3446.2</v>
      </c>
      <c r="L151" s="130">
        <f>L152</f>
        <v>3446.2</v>
      </c>
      <c r="M151" s="130">
        <f>M152</f>
        <v>1033.86</v>
      </c>
      <c r="N151" s="130">
        <f>M151/K151*100</f>
        <v>30</v>
      </c>
      <c r="O151" s="130">
        <f>M151/L151*100</f>
        <v>30</v>
      </c>
    </row>
    <row r="152" spans="1:15" ht="292.5">
      <c r="A152" s="65" t="s">
        <v>18</v>
      </c>
      <c r="B152" s="65" t="s">
        <v>481</v>
      </c>
      <c r="C152" s="65" t="s">
        <v>22</v>
      </c>
      <c r="D152" s="65" t="s">
        <v>34</v>
      </c>
      <c r="E152" s="22" t="s">
        <v>484</v>
      </c>
      <c r="F152" s="22" t="s">
        <v>10</v>
      </c>
      <c r="G152" s="10" t="s">
        <v>135</v>
      </c>
      <c r="H152" s="10" t="s">
        <v>173</v>
      </c>
      <c r="I152" s="11" t="s">
        <v>485</v>
      </c>
      <c r="J152" s="12" t="s">
        <v>142</v>
      </c>
      <c r="K152" s="130">
        <v>3446.2</v>
      </c>
      <c r="L152" s="130">
        <v>3446.2</v>
      </c>
      <c r="M152" s="130">
        <v>1033.86</v>
      </c>
      <c r="N152" s="130">
        <f>M152/K152*100</f>
        <v>30</v>
      </c>
      <c r="O152" s="130">
        <f>M152/L152*100</f>
        <v>30</v>
      </c>
    </row>
    <row r="153" spans="1:15" ht="33.75">
      <c r="A153" s="158">
        <v>2</v>
      </c>
      <c r="B153" s="62">
        <v>7</v>
      </c>
      <c r="C153" s="158"/>
      <c r="D153" s="158"/>
      <c r="E153" s="22" t="s">
        <v>209</v>
      </c>
      <c r="F153" s="7" t="s">
        <v>49</v>
      </c>
      <c r="G153" s="23"/>
      <c r="H153" s="23"/>
      <c r="I153" s="14"/>
      <c r="J153" s="12"/>
      <c r="K153" s="129">
        <f>K154+K155</f>
        <v>586180.5</v>
      </c>
      <c r="L153" s="129">
        <f>L154+L155</f>
        <v>618928</v>
      </c>
      <c r="M153" s="129">
        <f>M154+M155</f>
        <v>190972.998</v>
      </c>
      <c r="N153" s="129">
        <f t="shared" si="2"/>
        <v>32.57921374047755</v>
      </c>
      <c r="O153" s="129">
        <f t="shared" si="3"/>
        <v>30.855446513972545</v>
      </c>
    </row>
    <row r="154" spans="1:15" ht="48">
      <c r="A154" s="168"/>
      <c r="B154" s="63"/>
      <c r="C154" s="168"/>
      <c r="D154" s="168"/>
      <c r="E154" s="22"/>
      <c r="F154" s="9" t="s">
        <v>50</v>
      </c>
      <c r="G154" s="10">
        <v>855</v>
      </c>
      <c r="H154" s="10"/>
      <c r="I154" s="8"/>
      <c r="J154" s="12"/>
      <c r="K154" s="130">
        <f>K156+K158+K161+K163+K165+K167+K169+K171+K173+K175+K180</f>
        <v>339266.9</v>
      </c>
      <c r="L154" s="130">
        <f>L156+L158+L161+L163+L165+L167+L169+L171+L173+L175+L180+L182</f>
        <v>372014.4</v>
      </c>
      <c r="M154" s="130">
        <f>M156+M158+M161+M163+M165+M167+M169+M171+M173+M175+M180+M182</f>
        <v>190972.998</v>
      </c>
      <c r="N154" s="130">
        <f t="shared" si="2"/>
        <v>56.2898997809689</v>
      </c>
      <c r="O154" s="130">
        <f t="shared" si="3"/>
        <v>51.33484026424783</v>
      </c>
    </row>
    <row r="155" spans="1:15" ht="90">
      <c r="A155" s="159"/>
      <c r="B155" s="64"/>
      <c r="C155" s="159"/>
      <c r="D155" s="159"/>
      <c r="E155" s="22"/>
      <c r="F155" s="68" t="s">
        <v>486</v>
      </c>
      <c r="G155" s="10" t="s">
        <v>487</v>
      </c>
      <c r="H155" s="10"/>
      <c r="I155" s="8"/>
      <c r="J155" s="12"/>
      <c r="K155" s="130">
        <f>K178</f>
        <v>246913.6</v>
      </c>
      <c r="L155" s="130">
        <f>L178</f>
        <v>246913.6</v>
      </c>
      <c r="M155" s="130">
        <f>M178</f>
        <v>0</v>
      </c>
      <c r="N155" s="130">
        <v>0</v>
      </c>
      <c r="O155" s="130">
        <v>0</v>
      </c>
    </row>
    <row r="156" spans="1:15" ht="48">
      <c r="A156" s="15" t="s">
        <v>18</v>
      </c>
      <c r="B156" s="15">
        <v>7</v>
      </c>
      <c r="C156" s="15" t="s">
        <v>34</v>
      </c>
      <c r="D156" s="15"/>
      <c r="E156" s="22" t="s">
        <v>210</v>
      </c>
      <c r="F156" s="9" t="s">
        <v>50</v>
      </c>
      <c r="G156" s="10">
        <v>855</v>
      </c>
      <c r="H156" s="10" t="s">
        <v>54</v>
      </c>
      <c r="I156" s="8" t="s">
        <v>211</v>
      </c>
      <c r="J156" s="12"/>
      <c r="K156" s="130">
        <f>K157</f>
        <v>49122.9</v>
      </c>
      <c r="L156" s="130">
        <f>L157</f>
        <v>50097.9</v>
      </c>
      <c r="M156" s="130">
        <f>M157</f>
        <v>23566.284</v>
      </c>
      <c r="N156" s="130">
        <f t="shared" si="2"/>
        <v>47.97413019182499</v>
      </c>
      <c r="O156" s="130">
        <f t="shared" si="3"/>
        <v>47.04046277388873</v>
      </c>
    </row>
    <row r="157" spans="1:15" ht="48">
      <c r="A157" s="15" t="s">
        <v>18</v>
      </c>
      <c r="B157" s="15">
        <v>7</v>
      </c>
      <c r="C157" s="15" t="s">
        <v>34</v>
      </c>
      <c r="D157" s="15" t="s">
        <v>34</v>
      </c>
      <c r="E157" s="22" t="s">
        <v>212</v>
      </c>
      <c r="F157" s="9" t="s">
        <v>50</v>
      </c>
      <c r="G157" s="10">
        <v>855</v>
      </c>
      <c r="H157" s="10" t="s">
        <v>54</v>
      </c>
      <c r="I157" s="11" t="s">
        <v>519</v>
      </c>
      <c r="J157" s="12" t="s">
        <v>288</v>
      </c>
      <c r="K157" s="130">
        <v>49122.9</v>
      </c>
      <c r="L157" s="130">
        <v>50097.9</v>
      </c>
      <c r="M157" s="130">
        <f>23565.9+0.384</f>
        <v>23566.284</v>
      </c>
      <c r="N157" s="130">
        <f t="shared" si="2"/>
        <v>47.97413019182499</v>
      </c>
      <c r="O157" s="130">
        <f t="shared" si="3"/>
        <v>47.04046277388873</v>
      </c>
    </row>
    <row r="158" spans="1:15" ht="48">
      <c r="A158" s="15" t="s">
        <v>18</v>
      </c>
      <c r="B158" s="15">
        <v>7</v>
      </c>
      <c r="C158" s="15" t="s">
        <v>18</v>
      </c>
      <c r="D158" s="15"/>
      <c r="E158" s="22" t="s">
        <v>213</v>
      </c>
      <c r="F158" s="9" t="s">
        <v>50</v>
      </c>
      <c r="G158" s="10">
        <v>855</v>
      </c>
      <c r="H158" s="10" t="s">
        <v>54</v>
      </c>
      <c r="I158" s="11" t="s">
        <v>214</v>
      </c>
      <c r="J158" s="12"/>
      <c r="K158" s="130">
        <f>K159+K160</f>
        <v>13161.4</v>
      </c>
      <c r="L158" s="130">
        <f>L159+L160</f>
        <v>18778.5</v>
      </c>
      <c r="M158" s="130">
        <f>M159+M160</f>
        <v>10488.5</v>
      </c>
      <c r="N158" s="130">
        <f t="shared" si="2"/>
        <v>79.69137021897367</v>
      </c>
      <c r="O158" s="130">
        <f t="shared" si="3"/>
        <v>55.853768937881085</v>
      </c>
    </row>
    <row r="159" spans="1:15" ht="48">
      <c r="A159" s="15" t="s">
        <v>18</v>
      </c>
      <c r="B159" s="15">
        <v>7</v>
      </c>
      <c r="C159" s="15" t="s">
        <v>18</v>
      </c>
      <c r="D159" s="15" t="s">
        <v>34</v>
      </c>
      <c r="E159" s="22" t="s">
        <v>215</v>
      </c>
      <c r="F159" s="9" t="s">
        <v>50</v>
      </c>
      <c r="G159" s="10">
        <v>855</v>
      </c>
      <c r="H159" s="10" t="s">
        <v>54</v>
      </c>
      <c r="I159" s="11" t="s">
        <v>216</v>
      </c>
      <c r="J159" s="12" t="s">
        <v>217</v>
      </c>
      <c r="K159" s="130">
        <v>0</v>
      </c>
      <c r="L159" s="130">
        <v>2100</v>
      </c>
      <c r="M159" s="130">
        <v>2100</v>
      </c>
      <c r="N159" s="130">
        <v>0</v>
      </c>
      <c r="O159" s="130">
        <f t="shared" si="3"/>
        <v>100</v>
      </c>
    </row>
    <row r="160" spans="1:15" ht="48">
      <c r="A160" s="15" t="s">
        <v>18</v>
      </c>
      <c r="B160" s="15">
        <v>7</v>
      </c>
      <c r="C160" s="15" t="s">
        <v>18</v>
      </c>
      <c r="D160" s="15" t="s">
        <v>18</v>
      </c>
      <c r="E160" s="22" t="s">
        <v>218</v>
      </c>
      <c r="F160" s="9" t="s">
        <v>50</v>
      </c>
      <c r="G160" s="10">
        <v>855</v>
      </c>
      <c r="H160" s="10" t="s">
        <v>54</v>
      </c>
      <c r="I160" s="11" t="s">
        <v>219</v>
      </c>
      <c r="J160" s="12" t="s">
        <v>217</v>
      </c>
      <c r="K160" s="130">
        <v>13161.4</v>
      </c>
      <c r="L160" s="130">
        <v>16678.5</v>
      </c>
      <c r="M160" s="130">
        <v>8388.5</v>
      </c>
      <c r="N160" s="130">
        <f t="shared" si="2"/>
        <v>63.73562083061073</v>
      </c>
      <c r="O160" s="130">
        <f t="shared" si="3"/>
        <v>50.29529034385586</v>
      </c>
    </row>
    <row r="161" spans="1:15" ht="48">
      <c r="A161" s="15" t="s">
        <v>18</v>
      </c>
      <c r="B161" s="15">
        <v>7</v>
      </c>
      <c r="C161" s="15" t="s">
        <v>35</v>
      </c>
      <c r="D161" s="15"/>
      <c r="E161" s="22" t="s">
        <v>220</v>
      </c>
      <c r="F161" s="9" t="s">
        <v>50</v>
      </c>
      <c r="G161" s="10">
        <v>855</v>
      </c>
      <c r="H161" s="10" t="s">
        <v>54</v>
      </c>
      <c r="I161" s="8" t="s">
        <v>221</v>
      </c>
      <c r="J161" s="12"/>
      <c r="K161" s="130">
        <f>K162</f>
        <v>73.7</v>
      </c>
      <c r="L161" s="130">
        <f>L162</f>
        <v>300</v>
      </c>
      <c r="M161" s="130">
        <f>M162</f>
        <v>225.47</v>
      </c>
      <c r="N161" s="130">
        <f t="shared" si="2"/>
        <v>305.92944369063775</v>
      </c>
      <c r="O161" s="130">
        <f t="shared" si="3"/>
        <v>75.15666666666667</v>
      </c>
    </row>
    <row r="162" spans="1:15" ht="48">
      <c r="A162" s="15" t="s">
        <v>18</v>
      </c>
      <c r="B162" s="15">
        <v>7</v>
      </c>
      <c r="C162" s="15" t="s">
        <v>35</v>
      </c>
      <c r="D162" s="15" t="s">
        <v>34</v>
      </c>
      <c r="E162" s="22" t="s">
        <v>222</v>
      </c>
      <c r="F162" s="9" t="s">
        <v>50</v>
      </c>
      <c r="G162" s="10">
        <v>855</v>
      </c>
      <c r="H162" s="10" t="s">
        <v>54</v>
      </c>
      <c r="I162" s="11" t="s">
        <v>223</v>
      </c>
      <c r="J162" s="12" t="s">
        <v>289</v>
      </c>
      <c r="K162" s="130">
        <v>73.7</v>
      </c>
      <c r="L162" s="130">
        <v>300</v>
      </c>
      <c r="M162" s="130">
        <v>225.47</v>
      </c>
      <c r="N162" s="130">
        <f t="shared" si="2"/>
        <v>305.92944369063775</v>
      </c>
      <c r="O162" s="130">
        <f t="shared" si="3"/>
        <v>75.15666666666667</v>
      </c>
    </row>
    <row r="163" spans="1:15" ht="48">
      <c r="A163" s="15" t="s">
        <v>18</v>
      </c>
      <c r="B163" s="15">
        <v>7</v>
      </c>
      <c r="C163" s="15" t="s">
        <v>22</v>
      </c>
      <c r="D163" s="15"/>
      <c r="E163" s="22" t="s">
        <v>5</v>
      </c>
      <c r="F163" s="9" t="s">
        <v>50</v>
      </c>
      <c r="G163" s="10">
        <v>855</v>
      </c>
      <c r="H163" s="10" t="s">
        <v>54</v>
      </c>
      <c r="I163" s="11" t="s">
        <v>224</v>
      </c>
      <c r="J163" s="12"/>
      <c r="K163" s="130">
        <f>K164</f>
        <v>49357.6</v>
      </c>
      <c r="L163" s="130">
        <f>L164</f>
        <v>47348.1</v>
      </c>
      <c r="M163" s="130">
        <f>M164</f>
        <v>19622.75</v>
      </c>
      <c r="N163" s="130">
        <f t="shared" si="2"/>
        <v>39.756288798482906</v>
      </c>
      <c r="O163" s="130">
        <f t="shared" si="3"/>
        <v>41.443584853457686</v>
      </c>
    </row>
    <row r="164" spans="1:15" ht="90">
      <c r="A164" s="15" t="s">
        <v>18</v>
      </c>
      <c r="B164" s="15">
        <v>7</v>
      </c>
      <c r="C164" s="15" t="s">
        <v>22</v>
      </c>
      <c r="D164" s="15" t="s">
        <v>34</v>
      </c>
      <c r="E164" s="22" t="s">
        <v>86</v>
      </c>
      <c r="F164" s="9" t="s">
        <v>50</v>
      </c>
      <c r="G164" s="10">
        <v>855</v>
      </c>
      <c r="H164" s="10" t="s">
        <v>54</v>
      </c>
      <c r="I164" s="11" t="s">
        <v>225</v>
      </c>
      <c r="J164" s="12" t="s">
        <v>290</v>
      </c>
      <c r="K164" s="130">
        <v>49357.6</v>
      </c>
      <c r="L164" s="130">
        <v>47348.1</v>
      </c>
      <c r="M164" s="130">
        <v>19622.75</v>
      </c>
      <c r="N164" s="130">
        <f t="shared" si="2"/>
        <v>39.756288798482906</v>
      </c>
      <c r="O164" s="130">
        <f t="shared" si="3"/>
        <v>41.443584853457686</v>
      </c>
    </row>
    <row r="165" spans="1:15" ht="48">
      <c r="A165" s="15" t="s">
        <v>18</v>
      </c>
      <c r="B165" s="15">
        <v>7</v>
      </c>
      <c r="C165" s="15" t="s">
        <v>23</v>
      </c>
      <c r="D165" s="15"/>
      <c r="E165" s="22" t="s">
        <v>6</v>
      </c>
      <c r="F165" s="9" t="s">
        <v>50</v>
      </c>
      <c r="G165" s="10">
        <v>855</v>
      </c>
      <c r="H165" s="10" t="s">
        <v>54</v>
      </c>
      <c r="I165" s="8" t="s">
        <v>226</v>
      </c>
      <c r="J165" s="12"/>
      <c r="K165" s="130">
        <f>K166</f>
        <v>33730.5</v>
      </c>
      <c r="L165" s="130">
        <f>L166</f>
        <v>34575</v>
      </c>
      <c r="M165" s="130">
        <f>M166</f>
        <v>22236.5</v>
      </c>
      <c r="N165" s="130">
        <f t="shared" si="2"/>
        <v>65.92401535702109</v>
      </c>
      <c r="O165" s="130">
        <f t="shared" si="3"/>
        <v>64.31381055676067</v>
      </c>
    </row>
    <row r="166" spans="1:15" ht="90">
      <c r="A166" s="15" t="s">
        <v>18</v>
      </c>
      <c r="B166" s="15">
        <v>7</v>
      </c>
      <c r="C166" s="15" t="s">
        <v>23</v>
      </c>
      <c r="D166" s="15" t="s">
        <v>34</v>
      </c>
      <c r="E166" s="22" t="s">
        <v>86</v>
      </c>
      <c r="F166" s="9" t="s">
        <v>50</v>
      </c>
      <c r="G166" s="10">
        <v>855</v>
      </c>
      <c r="H166" s="10" t="s">
        <v>54</v>
      </c>
      <c r="I166" s="11" t="s">
        <v>227</v>
      </c>
      <c r="J166" s="12">
        <v>611</v>
      </c>
      <c r="K166" s="130">
        <v>33730.5</v>
      </c>
      <c r="L166" s="130">
        <v>34575</v>
      </c>
      <c r="M166" s="130">
        <v>22236.5</v>
      </c>
      <c r="N166" s="130">
        <f t="shared" si="2"/>
        <v>65.92401535702109</v>
      </c>
      <c r="O166" s="130">
        <f t="shared" si="3"/>
        <v>64.31381055676067</v>
      </c>
    </row>
    <row r="167" spans="1:15" ht="48">
      <c r="A167" s="15" t="s">
        <v>18</v>
      </c>
      <c r="B167" s="15">
        <v>7</v>
      </c>
      <c r="C167" s="15" t="s">
        <v>25</v>
      </c>
      <c r="D167" s="15"/>
      <c r="E167" s="22" t="s">
        <v>7</v>
      </c>
      <c r="F167" s="9" t="s">
        <v>50</v>
      </c>
      <c r="G167" s="10">
        <v>855</v>
      </c>
      <c r="H167" s="10" t="s">
        <v>54</v>
      </c>
      <c r="I167" s="8" t="s">
        <v>228</v>
      </c>
      <c r="J167" s="12"/>
      <c r="K167" s="130">
        <f>K168</f>
        <v>169745.4</v>
      </c>
      <c r="L167" s="130">
        <f>L168</f>
        <v>174978.5</v>
      </c>
      <c r="M167" s="130">
        <f>M168</f>
        <v>101026.88</v>
      </c>
      <c r="N167" s="130">
        <f t="shared" si="2"/>
        <v>59.51671149851484</v>
      </c>
      <c r="O167" s="130">
        <f t="shared" si="3"/>
        <v>57.7367390850876</v>
      </c>
    </row>
    <row r="168" spans="1:15" ht="90">
      <c r="A168" s="15" t="s">
        <v>18</v>
      </c>
      <c r="B168" s="15">
        <v>7</v>
      </c>
      <c r="C168" s="15" t="s">
        <v>25</v>
      </c>
      <c r="D168" s="15" t="s">
        <v>34</v>
      </c>
      <c r="E168" s="22" t="s">
        <v>86</v>
      </c>
      <c r="F168" s="9" t="s">
        <v>50</v>
      </c>
      <c r="G168" s="10">
        <v>855</v>
      </c>
      <c r="H168" s="10" t="s">
        <v>54</v>
      </c>
      <c r="I168" s="11" t="s">
        <v>229</v>
      </c>
      <c r="J168" s="12">
        <v>611</v>
      </c>
      <c r="K168" s="130">
        <v>169745.4</v>
      </c>
      <c r="L168" s="130">
        <v>174978.5</v>
      </c>
      <c r="M168" s="130">
        <v>101026.88</v>
      </c>
      <c r="N168" s="130">
        <f t="shared" si="2"/>
        <v>59.51671149851484</v>
      </c>
      <c r="O168" s="130">
        <f t="shared" si="3"/>
        <v>57.7367390850876</v>
      </c>
    </row>
    <row r="169" spans="1:15" ht="48">
      <c r="A169" s="15" t="s">
        <v>18</v>
      </c>
      <c r="B169" s="15">
        <v>7</v>
      </c>
      <c r="C169" s="15" t="s">
        <v>230</v>
      </c>
      <c r="D169" s="15"/>
      <c r="E169" s="22" t="s">
        <v>231</v>
      </c>
      <c r="F169" s="9" t="s">
        <v>50</v>
      </c>
      <c r="G169" s="10">
        <v>855</v>
      </c>
      <c r="H169" s="10" t="s">
        <v>54</v>
      </c>
      <c r="I169" s="8" t="s">
        <v>232</v>
      </c>
      <c r="J169" s="12"/>
      <c r="K169" s="130">
        <f>K170</f>
        <v>16476.9</v>
      </c>
      <c r="L169" s="130">
        <f>L170</f>
        <v>18806.9</v>
      </c>
      <c r="M169" s="130">
        <f>M170</f>
        <v>10351.21</v>
      </c>
      <c r="N169" s="130">
        <f t="shared" si="2"/>
        <v>62.82255764130388</v>
      </c>
      <c r="O169" s="130">
        <f t="shared" si="3"/>
        <v>55.03942701880692</v>
      </c>
    </row>
    <row r="170" spans="1:15" ht="48">
      <c r="A170" s="15" t="s">
        <v>18</v>
      </c>
      <c r="B170" s="15">
        <v>7</v>
      </c>
      <c r="C170" s="15" t="s">
        <v>230</v>
      </c>
      <c r="D170" s="15" t="s">
        <v>34</v>
      </c>
      <c r="E170" s="22" t="s">
        <v>233</v>
      </c>
      <c r="F170" s="9" t="s">
        <v>50</v>
      </c>
      <c r="G170" s="10">
        <v>855</v>
      </c>
      <c r="H170" s="10" t="s">
        <v>54</v>
      </c>
      <c r="I170" s="11" t="s">
        <v>281</v>
      </c>
      <c r="J170" s="11" t="s">
        <v>520</v>
      </c>
      <c r="K170" s="130">
        <v>16476.9</v>
      </c>
      <c r="L170" s="130">
        <v>18806.9</v>
      </c>
      <c r="M170" s="130">
        <v>10351.21</v>
      </c>
      <c r="N170" s="130">
        <f t="shared" si="2"/>
        <v>62.82255764130388</v>
      </c>
      <c r="O170" s="130">
        <f t="shared" si="3"/>
        <v>55.03942701880692</v>
      </c>
    </row>
    <row r="171" spans="1:15" ht="48">
      <c r="A171" s="15" t="s">
        <v>18</v>
      </c>
      <c r="B171" s="15">
        <v>7</v>
      </c>
      <c r="C171" s="15" t="s">
        <v>26</v>
      </c>
      <c r="D171" s="15"/>
      <c r="E171" s="22" t="s">
        <v>234</v>
      </c>
      <c r="F171" s="9" t="s">
        <v>50</v>
      </c>
      <c r="G171" s="10">
        <v>855</v>
      </c>
      <c r="H171" s="10" t="s">
        <v>54</v>
      </c>
      <c r="I171" s="8" t="s">
        <v>235</v>
      </c>
      <c r="J171" s="12"/>
      <c r="K171" s="130">
        <f>K172</f>
        <v>4085.5</v>
      </c>
      <c r="L171" s="130">
        <f>L172</f>
        <v>14629.5</v>
      </c>
      <c r="M171" s="130">
        <f>M172</f>
        <v>2075.269</v>
      </c>
      <c r="N171" s="130">
        <f t="shared" si="2"/>
        <v>50.795961326643</v>
      </c>
      <c r="O171" s="130">
        <f t="shared" si="3"/>
        <v>14.185508732355856</v>
      </c>
    </row>
    <row r="172" spans="1:15" ht="48">
      <c r="A172" s="15" t="s">
        <v>18</v>
      </c>
      <c r="B172" s="15">
        <v>7</v>
      </c>
      <c r="C172" s="15" t="s">
        <v>26</v>
      </c>
      <c r="D172" s="15" t="s">
        <v>34</v>
      </c>
      <c r="E172" s="22" t="s">
        <v>236</v>
      </c>
      <c r="F172" s="9" t="s">
        <v>10</v>
      </c>
      <c r="G172" s="10">
        <v>855</v>
      </c>
      <c r="H172" s="10" t="s">
        <v>54</v>
      </c>
      <c r="I172" s="11" t="s">
        <v>237</v>
      </c>
      <c r="J172" s="12" t="s">
        <v>291</v>
      </c>
      <c r="K172" s="130">
        <v>4085.5</v>
      </c>
      <c r="L172" s="130">
        <v>14629.5</v>
      </c>
      <c r="M172" s="130">
        <v>2075.269</v>
      </c>
      <c r="N172" s="130">
        <f t="shared" si="2"/>
        <v>50.795961326643</v>
      </c>
      <c r="O172" s="130">
        <f t="shared" si="3"/>
        <v>14.185508732355856</v>
      </c>
    </row>
    <row r="173" spans="1:15" ht="78.75">
      <c r="A173" s="15" t="s">
        <v>18</v>
      </c>
      <c r="B173" s="15">
        <v>7</v>
      </c>
      <c r="C173" s="15" t="s">
        <v>239</v>
      </c>
      <c r="D173" s="15"/>
      <c r="E173" s="22" t="s">
        <v>240</v>
      </c>
      <c r="F173" s="9" t="s">
        <v>50</v>
      </c>
      <c r="G173" s="10">
        <v>855</v>
      </c>
      <c r="H173" s="10" t="s">
        <v>54</v>
      </c>
      <c r="I173" s="8" t="s">
        <v>241</v>
      </c>
      <c r="J173" s="12"/>
      <c r="K173" s="130">
        <f>K174</f>
        <v>1653.1</v>
      </c>
      <c r="L173" s="130">
        <f>L174</f>
        <v>8417.7</v>
      </c>
      <c r="M173" s="130">
        <f>M174</f>
        <v>890.425</v>
      </c>
      <c r="N173" s="130">
        <f t="shared" si="2"/>
        <v>53.86395257395197</v>
      </c>
      <c r="O173" s="130">
        <f t="shared" si="3"/>
        <v>10.578008244532352</v>
      </c>
    </row>
    <row r="174" spans="1:15" ht="78.75">
      <c r="A174" s="15" t="s">
        <v>18</v>
      </c>
      <c r="B174" s="15">
        <v>7</v>
      </c>
      <c r="C174" s="15" t="s">
        <v>239</v>
      </c>
      <c r="D174" s="15" t="s">
        <v>34</v>
      </c>
      <c r="E174" s="22" t="s">
        <v>242</v>
      </c>
      <c r="F174" s="9" t="s">
        <v>50</v>
      </c>
      <c r="G174" s="10">
        <v>855</v>
      </c>
      <c r="H174" s="10" t="s">
        <v>54</v>
      </c>
      <c r="I174" s="11" t="s">
        <v>243</v>
      </c>
      <c r="J174" s="12">
        <v>240.612</v>
      </c>
      <c r="K174" s="130">
        <v>1653.1</v>
      </c>
      <c r="L174" s="130">
        <v>8417.7</v>
      </c>
      <c r="M174" s="130">
        <v>890.425</v>
      </c>
      <c r="N174" s="130">
        <f aca="true" t="shared" si="6" ref="N174:N179">M174/K174*100</f>
        <v>53.86395257395197</v>
      </c>
      <c r="O174" s="130">
        <f>M174/L174*100</f>
        <v>10.578008244532352</v>
      </c>
    </row>
    <row r="175" spans="1:15" ht="48">
      <c r="A175" s="15">
        <v>2</v>
      </c>
      <c r="B175" s="15">
        <v>7</v>
      </c>
      <c r="C175" s="15">
        <v>14</v>
      </c>
      <c r="D175" s="15"/>
      <c r="E175" s="22" t="s">
        <v>244</v>
      </c>
      <c r="F175" s="9" t="s">
        <v>10</v>
      </c>
      <c r="G175" s="10">
        <v>855</v>
      </c>
      <c r="H175" s="10" t="s">
        <v>54</v>
      </c>
      <c r="I175" s="8" t="s">
        <v>245</v>
      </c>
      <c r="J175" s="12"/>
      <c r="K175" s="130">
        <f>K176</f>
        <v>1859.9</v>
      </c>
      <c r="L175" s="130">
        <f>L176</f>
        <v>2721.5</v>
      </c>
      <c r="M175" s="130">
        <f>M176</f>
        <v>320.71</v>
      </c>
      <c r="N175" s="130">
        <f t="shared" si="6"/>
        <v>17.243400182805523</v>
      </c>
      <c r="O175" s="130">
        <f>M175/L175*100</f>
        <v>11.784310123093881</v>
      </c>
    </row>
    <row r="176" spans="1:15" ht="48">
      <c r="A176" s="15">
        <v>2</v>
      </c>
      <c r="B176" s="15">
        <v>7</v>
      </c>
      <c r="C176" s="15">
        <v>14</v>
      </c>
      <c r="D176" s="15" t="s">
        <v>34</v>
      </c>
      <c r="E176" s="22" t="s">
        <v>244</v>
      </c>
      <c r="F176" s="9" t="s">
        <v>10</v>
      </c>
      <c r="G176" s="10">
        <v>855</v>
      </c>
      <c r="H176" s="10" t="s">
        <v>54</v>
      </c>
      <c r="I176" s="11" t="s">
        <v>246</v>
      </c>
      <c r="J176" s="12" t="s">
        <v>292</v>
      </c>
      <c r="K176" s="130">
        <v>1859.9</v>
      </c>
      <c r="L176" s="130">
        <v>2721.5</v>
      </c>
      <c r="M176" s="130">
        <v>320.71</v>
      </c>
      <c r="N176" s="130">
        <f t="shared" si="6"/>
        <v>17.243400182805523</v>
      </c>
      <c r="O176" s="130">
        <f aca="true" t="shared" si="7" ref="O176:O195">M176/L176*100</f>
        <v>11.784310123093881</v>
      </c>
    </row>
    <row r="177" spans="1:15" ht="56.25">
      <c r="A177" s="155" t="s">
        <v>115</v>
      </c>
      <c r="B177" s="155" t="s">
        <v>297</v>
      </c>
      <c r="C177" s="155" t="s">
        <v>492</v>
      </c>
      <c r="D177" s="155"/>
      <c r="E177" s="22" t="s">
        <v>491</v>
      </c>
      <c r="F177" s="22" t="s">
        <v>49</v>
      </c>
      <c r="G177" s="134"/>
      <c r="H177" s="134"/>
      <c r="I177" s="134"/>
      <c r="J177" s="12"/>
      <c r="K177" s="130">
        <f>K178</f>
        <v>246913.6</v>
      </c>
      <c r="L177" s="130">
        <f>L178</f>
        <v>246913.6</v>
      </c>
      <c r="M177" s="130">
        <v>0</v>
      </c>
      <c r="N177" s="130">
        <f t="shared" si="6"/>
        <v>0</v>
      </c>
      <c r="O177" s="130">
        <f t="shared" si="7"/>
        <v>0</v>
      </c>
    </row>
    <row r="178" spans="1:15" ht="90">
      <c r="A178" s="155"/>
      <c r="B178" s="155"/>
      <c r="C178" s="155"/>
      <c r="D178" s="155"/>
      <c r="E178" s="22"/>
      <c r="F178" s="68" t="s">
        <v>486</v>
      </c>
      <c r="G178" s="10" t="s">
        <v>487</v>
      </c>
      <c r="H178" s="10" t="s">
        <v>110</v>
      </c>
      <c r="I178" s="11" t="s">
        <v>488</v>
      </c>
      <c r="J178" s="12"/>
      <c r="K178" s="130">
        <f>K179</f>
        <v>246913.6</v>
      </c>
      <c r="L178" s="130">
        <f>L179</f>
        <v>246913.6</v>
      </c>
      <c r="M178" s="130">
        <v>0</v>
      </c>
      <c r="N178" s="130">
        <f t="shared" si="6"/>
        <v>0</v>
      </c>
      <c r="O178" s="130">
        <f t="shared" si="7"/>
        <v>0</v>
      </c>
    </row>
    <row r="179" spans="1:15" ht="90">
      <c r="A179" s="65" t="s">
        <v>115</v>
      </c>
      <c r="B179" s="69" t="s">
        <v>297</v>
      </c>
      <c r="C179" s="69" t="s">
        <v>492</v>
      </c>
      <c r="D179" s="69" t="s">
        <v>34</v>
      </c>
      <c r="E179" s="22" t="s">
        <v>493</v>
      </c>
      <c r="F179" s="68" t="s">
        <v>486</v>
      </c>
      <c r="G179" s="10" t="s">
        <v>487</v>
      </c>
      <c r="H179" s="10" t="s">
        <v>110</v>
      </c>
      <c r="I179" s="11" t="s">
        <v>489</v>
      </c>
      <c r="J179" s="12" t="s">
        <v>490</v>
      </c>
      <c r="K179" s="130">
        <v>246913.6</v>
      </c>
      <c r="L179" s="130">
        <v>246913.6</v>
      </c>
      <c r="M179" s="130">
        <v>0</v>
      </c>
      <c r="N179" s="130">
        <f t="shared" si="6"/>
        <v>0</v>
      </c>
      <c r="O179" s="130">
        <f t="shared" si="7"/>
        <v>0</v>
      </c>
    </row>
    <row r="180" spans="1:15" ht="101.25">
      <c r="A180" s="21" t="s">
        <v>115</v>
      </c>
      <c r="B180" s="21" t="s">
        <v>297</v>
      </c>
      <c r="C180" s="21" t="s">
        <v>31</v>
      </c>
      <c r="D180" s="21"/>
      <c r="E180" s="22" t="s">
        <v>295</v>
      </c>
      <c r="F180" s="9" t="s">
        <v>10</v>
      </c>
      <c r="G180" s="10">
        <v>855</v>
      </c>
      <c r="H180" s="10" t="s">
        <v>54</v>
      </c>
      <c r="I180" s="11" t="s">
        <v>294</v>
      </c>
      <c r="J180" s="12"/>
      <c r="K180" s="130">
        <f>K181</f>
        <v>0</v>
      </c>
      <c r="L180" s="130">
        <f>L181</f>
        <v>0</v>
      </c>
      <c r="M180" s="130">
        <f>M181</f>
        <v>0</v>
      </c>
      <c r="N180" s="130">
        <v>0</v>
      </c>
      <c r="O180" s="130">
        <v>0</v>
      </c>
    </row>
    <row r="181" spans="1:15" ht="90">
      <c r="A181" s="21" t="s">
        <v>115</v>
      </c>
      <c r="B181" s="21" t="s">
        <v>297</v>
      </c>
      <c r="C181" s="21" t="s">
        <v>31</v>
      </c>
      <c r="D181" s="21" t="s">
        <v>34</v>
      </c>
      <c r="E181" s="22" t="s">
        <v>296</v>
      </c>
      <c r="F181" s="9" t="s">
        <v>10</v>
      </c>
      <c r="G181" s="10">
        <v>855</v>
      </c>
      <c r="H181" s="10" t="s">
        <v>54</v>
      </c>
      <c r="I181" s="11" t="s">
        <v>293</v>
      </c>
      <c r="J181" s="12" t="s">
        <v>291</v>
      </c>
      <c r="K181" s="130">
        <v>0</v>
      </c>
      <c r="L181" s="130">
        <v>0</v>
      </c>
      <c r="M181" s="130">
        <v>0</v>
      </c>
      <c r="N181" s="130">
        <v>0</v>
      </c>
      <c r="O181" s="130">
        <v>0</v>
      </c>
    </row>
    <row r="182" spans="1:15" ht="90">
      <c r="A182" s="21" t="s">
        <v>115</v>
      </c>
      <c r="B182" s="21" t="s">
        <v>297</v>
      </c>
      <c r="C182" s="21" t="s">
        <v>521</v>
      </c>
      <c r="D182" s="21"/>
      <c r="E182" s="22" t="s">
        <v>524</v>
      </c>
      <c r="F182" s="9" t="s">
        <v>10</v>
      </c>
      <c r="G182" s="10">
        <v>855</v>
      </c>
      <c r="H182" s="10" t="s">
        <v>54</v>
      </c>
      <c r="I182" s="11" t="s">
        <v>522</v>
      </c>
      <c r="J182" s="12"/>
      <c r="K182" s="130">
        <f>K183</f>
        <v>0</v>
      </c>
      <c r="L182" s="130">
        <f>L183</f>
        <v>1360.8</v>
      </c>
      <c r="M182" s="130">
        <f>M183</f>
        <v>169</v>
      </c>
      <c r="N182" s="130">
        <v>0</v>
      </c>
      <c r="O182" s="130">
        <f>M182/L182*100</f>
        <v>12.419165196942975</v>
      </c>
    </row>
    <row r="183" spans="1:15" ht="101.25">
      <c r="A183" s="21" t="s">
        <v>115</v>
      </c>
      <c r="B183" s="21" t="s">
        <v>297</v>
      </c>
      <c r="C183" s="21" t="s">
        <v>521</v>
      </c>
      <c r="D183" s="21" t="s">
        <v>34</v>
      </c>
      <c r="E183" s="22" t="s">
        <v>525</v>
      </c>
      <c r="F183" s="9" t="s">
        <v>10</v>
      </c>
      <c r="G183" s="10">
        <v>855</v>
      </c>
      <c r="H183" s="10" t="s">
        <v>54</v>
      </c>
      <c r="I183" s="11" t="s">
        <v>523</v>
      </c>
      <c r="J183" s="12">
        <v>611</v>
      </c>
      <c r="K183" s="130">
        <v>0</v>
      </c>
      <c r="L183" s="130">
        <v>1360.8</v>
      </c>
      <c r="M183" s="130">
        <v>169</v>
      </c>
      <c r="N183" s="130">
        <v>0</v>
      </c>
      <c r="O183" s="130">
        <f>M183/L183*100</f>
        <v>12.419165196942975</v>
      </c>
    </row>
    <row r="184" spans="1:15" ht="33.75">
      <c r="A184" s="158">
        <v>2</v>
      </c>
      <c r="B184" s="158">
        <v>8</v>
      </c>
      <c r="C184" s="160"/>
      <c r="D184" s="158"/>
      <c r="E184" s="22" t="s">
        <v>247</v>
      </c>
      <c r="F184" s="7" t="s">
        <v>49</v>
      </c>
      <c r="G184" s="10"/>
      <c r="H184" s="10"/>
      <c r="I184" s="8"/>
      <c r="J184" s="12"/>
      <c r="K184" s="129">
        <f aca="true" t="shared" si="8" ref="K184:M186">K185</f>
        <v>6776342.4</v>
      </c>
      <c r="L184" s="129">
        <f t="shared" si="8"/>
        <v>6776342.4</v>
      </c>
      <c r="M184" s="129">
        <f t="shared" si="8"/>
        <v>3388171.2</v>
      </c>
      <c r="N184" s="129">
        <f aca="true" t="shared" si="9" ref="N184:N195">M184/K184*100</f>
        <v>50</v>
      </c>
      <c r="O184" s="129">
        <f t="shared" si="7"/>
        <v>50</v>
      </c>
    </row>
    <row r="185" spans="1:15" ht="48">
      <c r="A185" s="159"/>
      <c r="B185" s="159"/>
      <c r="C185" s="161"/>
      <c r="D185" s="159"/>
      <c r="E185" s="22"/>
      <c r="F185" s="9" t="s">
        <v>10</v>
      </c>
      <c r="G185" s="10">
        <v>855</v>
      </c>
      <c r="H185" s="10"/>
      <c r="I185" s="8"/>
      <c r="J185" s="12"/>
      <c r="K185" s="130">
        <f t="shared" si="8"/>
        <v>6776342.4</v>
      </c>
      <c r="L185" s="130">
        <f t="shared" si="8"/>
        <v>6776342.4</v>
      </c>
      <c r="M185" s="130">
        <f t="shared" si="8"/>
        <v>3388171.2</v>
      </c>
      <c r="N185" s="130">
        <f t="shared" si="9"/>
        <v>50</v>
      </c>
      <c r="O185" s="130">
        <f t="shared" si="7"/>
        <v>50</v>
      </c>
    </row>
    <row r="186" spans="1:15" ht="48">
      <c r="A186" s="15" t="s">
        <v>18</v>
      </c>
      <c r="B186" s="15">
        <v>8</v>
      </c>
      <c r="C186" s="15" t="s">
        <v>18</v>
      </c>
      <c r="D186" s="15"/>
      <c r="E186" s="22" t="s">
        <v>248</v>
      </c>
      <c r="F186" s="9" t="s">
        <v>10</v>
      </c>
      <c r="G186" s="10">
        <v>855</v>
      </c>
      <c r="H186" s="10" t="s">
        <v>280</v>
      </c>
      <c r="I186" s="8" t="s">
        <v>249</v>
      </c>
      <c r="J186" s="12"/>
      <c r="K186" s="130">
        <f t="shared" si="8"/>
        <v>6776342.4</v>
      </c>
      <c r="L186" s="130">
        <f t="shared" si="8"/>
        <v>6776342.4</v>
      </c>
      <c r="M186" s="130">
        <f t="shared" si="8"/>
        <v>3388171.2</v>
      </c>
      <c r="N186" s="130">
        <f t="shared" si="9"/>
        <v>50</v>
      </c>
      <c r="O186" s="130">
        <f t="shared" si="7"/>
        <v>50</v>
      </c>
    </row>
    <row r="187" spans="1:15" ht="48">
      <c r="A187" s="15" t="s">
        <v>18</v>
      </c>
      <c r="B187" s="15">
        <v>8</v>
      </c>
      <c r="C187" s="15" t="s">
        <v>18</v>
      </c>
      <c r="D187" s="15" t="s">
        <v>34</v>
      </c>
      <c r="E187" s="22" t="s">
        <v>250</v>
      </c>
      <c r="F187" s="9" t="s">
        <v>10</v>
      </c>
      <c r="G187" s="10">
        <v>855</v>
      </c>
      <c r="H187" s="10" t="s">
        <v>280</v>
      </c>
      <c r="I187" s="11" t="s">
        <v>251</v>
      </c>
      <c r="J187" s="12" t="s">
        <v>252</v>
      </c>
      <c r="K187" s="130">
        <v>6776342.4</v>
      </c>
      <c r="L187" s="130">
        <v>6776342.4</v>
      </c>
      <c r="M187" s="130">
        <v>3388171.2</v>
      </c>
      <c r="N187" s="130">
        <f t="shared" si="9"/>
        <v>50</v>
      </c>
      <c r="O187" s="130">
        <f t="shared" si="7"/>
        <v>50</v>
      </c>
    </row>
    <row r="188" spans="1:15" ht="45">
      <c r="A188" s="164">
        <v>2</v>
      </c>
      <c r="B188" s="164">
        <v>9</v>
      </c>
      <c r="C188" s="164"/>
      <c r="D188" s="164"/>
      <c r="E188" s="22" t="s">
        <v>253</v>
      </c>
      <c r="F188" s="7" t="s">
        <v>49</v>
      </c>
      <c r="G188" s="23"/>
      <c r="H188" s="23"/>
      <c r="I188" s="14"/>
      <c r="J188" s="23"/>
      <c r="K188" s="129">
        <f aca="true" t="shared" si="10" ref="K188:M190">K189</f>
        <v>1382.7</v>
      </c>
      <c r="L188" s="129">
        <f t="shared" si="10"/>
        <v>1382.7</v>
      </c>
      <c r="M188" s="129">
        <f t="shared" si="10"/>
        <v>605.67</v>
      </c>
      <c r="N188" s="129">
        <f>M188/K188*100</f>
        <v>43.80342807550444</v>
      </c>
      <c r="O188" s="129">
        <f t="shared" si="7"/>
        <v>43.80342807550444</v>
      </c>
    </row>
    <row r="189" spans="1:15" ht="48">
      <c r="A189" s="165"/>
      <c r="B189" s="165"/>
      <c r="C189" s="165"/>
      <c r="D189" s="165"/>
      <c r="E189" s="22"/>
      <c r="F189" s="9" t="s">
        <v>10</v>
      </c>
      <c r="G189" s="10">
        <v>855</v>
      </c>
      <c r="H189" s="10"/>
      <c r="I189" s="8"/>
      <c r="J189" s="10"/>
      <c r="K189" s="130">
        <f t="shared" si="10"/>
        <v>1382.7</v>
      </c>
      <c r="L189" s="130">
        <f t="shared" si="10"/>
        <v>1382.7</v>
      </c>
      <c r="M189" s="130">
        <f t="shared" si="10"/>
        <v>605.67</v>
      </c>
      <c r="N189" s="130">
        <f t="shared" si="9"/>
        <v>43.80342807550444</v>
      </c>
      <c r="O189" s="130">
        <f t="shared" si="7"/>
        <v>43.80342807550444</v>
      </c>
    </row>
    <row r="190" spans="1:15" ht="78.75">
      <c r="A190" s="21" t="s">
        <v>18</v>
      </c>
      <c r="B190" s="21">
        <v>9</v>
      </c>
      <c r="C190" s="21" t="s">
        <v>34</v>
      </c>
      <c r="D190" s="62"/>
      <c r="E190" s="22" t="s">
        <v>254</v>
      </c>
      <c r="F190" s="9" t="s">
        <v>10</v>
      </c>
      <c r="G190" s="10">
        <v>855</v>
      </c>
      <c r="H190" s="10" t="s">
        <v>54</v>
      </c>
      <c r="I190" s="8" t="s">
        <v>255</v>
      </c>
      <c r="J190" s="12"/>
      <c r="K190" s="130">
        <f t="shared" si="10"/>
        <v>1382.7</v>
      </c>
      <c r="L190" s="130">
        <f t="shared" si="10"/>
        <v>1382.7</v>
      </c>
      <c r="M190" s="130">
        <f t="shared" si="10"/>
        <v>605.67</v>
      </c>
      <c r="N190" s="130">
        <f t="shared" si="9"/>
        <v>43.80342807550444</v>
      </c>
      <c r="O190" s="130">
        <f t="shared" si="7"/>
        <v>43.80342807550444</v>
      </c>
    </row>
    <row r="191" spans="1:15" ht="135">
      <c r="A191" s="21" t="s">
        <v>18</v>
      </c>
      <c r="B191" s="21">
        <v>9</v>
      </c>
      <c r="C191" s="21" t="s">
        <v>34</v>
      </c>
      <c r="D191" s="21" t="s">
        <v>34</v>
      </c>
      <c r="E191" s="22" t="s">
        <v>256</v>
      </c>
      <c r="F191" s="9" t="s">
        <v>10</v>
      </c>
      <c r="G191" s="10">
        <v>855</v>
      </c>
      <c r="H191" s="10" t="s">
        <v>54</v>
      </c>
      <c r="I191" s="11" t="s">
        <v>258</v>
      </c>
      <c r="J191" s="12" t="s">
        <v>0</v>
      </c>
      <c r="K191" s="130">
        <v>1382.7</v>
      </c>
      <c r="L191" s="130">
        <v>1382.7</v>
      </c>
      <c r="M191" s="130">
        <v>605.67</v>
      </c>
      <c r="N191" s="130">
        <f t="shared" si="9"/>
        <v>43.80342807550444</v>
      </c>
      <c r="O191" s="130">
        <f t="shared" si="7"/>
        <v>43.80342807550444</v>
      </c>
    </row>
    <row r="192" spans="1:15" ht="22.5">
      <c r="A192" s="166" t="s">
        <v>18</v>
      </c>
      <c r="B192" s="166" t="s">
        <v>270</v>
      </c>
      <c r="C192" s="166"/>
      <c r="D192" s="166"/>
      <c r="E192" s="22" t="s">
        <v>271</v>
      </c>
      <c r="F192" s="7" t="s">
        <v>49</v>
      </c>
      <c r="G192" s="10"/>
      <c r="H192" s="10"/>
      <c r="I192" s="11"/>
      <c r="J192" s="12"/>
      <c r="K192" s="129">
        <f aca="true" t="shared" si="11" ref="K192:M193">K193</f>
        <v>162120</v>
      </c>
      <c r="L192" s="129">
        <f t="shared" si="11"/>
        <v>162120</v>
      </c>
      <c r="M192" s="129">
        <f t="shared" si="11"/>
        <v>92.099</v>
      </c>
      <c r="N192" s="129">
        <f t="shared" si="9"/>
        <v>0.05680915371329879</v>
      </c>
      <c r="O192" s="129">
        <f t="shared" si="7"/>
        <v>0.05680915371329879</v>
      </c>
    </row>
    <row r="193" spans="1:15" ht="48">
      <c r="A193" s="167"/>
      <c r="B193" s="167"/>
      <c r="C193" s="167"/>
      <c r="D193" s="167"/>
      <c r="E193" s="22"/>
      <c r="F193" s="9" t="s">
        <v>10</v>
      </c>
      <c r="G193" s="10"/>
      <c r="H193" s="10"/>
      <c r="I193" s="11"/>
      <c r="J193" s="12"/>
      <c r="K193" s="130">
        <f t="shared" si="11"/>
        <v>162120</v>
      </c>
      <c r="L193" s="130">
        <f t="shared" si="11"/>
        <v>162120</v>
      </c>
      <c r="M193" s="130">
        <f t="shared" si="11"/>
        <v>92.099</v>
      </c>
      <c r="N193" s="130">
        <f t="shared" si="9"/>
        <v>0.05680915371329879</v>
      </c>
      <c r="O193" s="130">
        <f t="shared" si="7"/>
        <v>0.05680915371329879</v>
      </c>
    </row>
    <row r="194" spans="1:15" ht="78.75">
      <c r="A194" s="21" t="s">
        <v>18</v>
      </c>
      <c r="B194" s="21" t="s">
        <v>270</v>
      </c>
      <c r="C194" s="21" t="s">
        <v>494</v>
      </c>
      <c r="D194" s="21"/>
      <c r="E194" s="22" t="s">
        <v>495</v>
      </c>
      <c r="F194" s="9" t="s">
        <v>10</v>
      </c>
      <c r="G194" s="10" t="s">
        <v>135</v>
      </c>
      <c r="H194" s="10" t="s">
        <v>173</v>
      </c>
      <c r="I194" s="11" t="s">
        <v>527</v>
      </c>
      <c r="J194" s="12"/>
      <c r="K194" s="130">
        <f>K195+K196</f>
        <v>162120</v>
      </c>
      <c r="L194" s="130">
        <f>L195+L196</f>
        <v>162120</v>
      </c>
      <c r="M194" s="130">
        <f>M195+M196</f>
        <v>92.099</v>
      </c>
      <c r="N194" s="130">
        <f t="shared" si="9"/>
        <v>0.05680915371329879</v>
      </c>
      <c r="O194" s="130">
        <f t="shared" si="7"/>
        <v>0.05680915371329879</v>
      </c>
    </row>
    <row r="195" spans="1:15" ht="90">
      <c r="A195" s="15" t="s">
        <v>18</v>
      </c>
      <c r="B195" s="15" t="s">
        <v>270</v>
      </c>
      <c r="C195" s="15" t="s">
        <v>494</v>
      </c>
      <c r="D195" s="15" t="s">
        <v>34</v>
      </c>
      <c r="E195" s="22" t="s">
        <v>496</v>
      </c>
      <c r="F195" s="9" t="s">
        <v>10</v>
      </c>
      <c r="G195" s="10" t="s">
        <v>135</v>
      </c>
      <c r="H195" s="10" t="s">
        <v>173</v>
      </c>
      <c r="I195" s="11" t="s">
        <v>528</v>
      </c>
      <c r="J195" s="12" t="s">
        <v>238</v>
      </c>
      <c r="K195" s="130">
        <v>162120</v>
      </c>
      <c r="L195" s="130">
        <v>159752.6</v>
      </c>
      <c r="M195" s="130">
        <v>92.099</v>
      </c>
      <c r="N195" s="130">
        <f t="shared" si="9"/>
        <v>0.05680915371329879</v>
      </c>
      <c r="O195" s="130">
        <f t="shared" si="7"/>
        <v>0.057651017886406856</v>
      </c>
    </row>
    <row r="196" spans="1:15" ht="123.75">
      <c r="A196" s="15" t="s">
        <v>18</v>
      </c>
      <c r="B196" s="15" t="s">
        <v>270</v>
      </c>
      <c r="C196" s="15" t="s">
        <v>494</v>
      </c>
      <c r="D196" s="15" t="s">
        <v>18</v>
      </c>
      <c r="E196" s="22" t="s">
        <v>529</v>
      </c>
      <c r="F196" s="9" t="s">
        <v>10</v>
      </c>
      <c r="G196" s="10" t="s">
        <v>135</v>
      </c>
      <c r="H196" s="10" t="s">
        <v>173</v>
      </c>
      <c r="I196" s="11" t="s">
        <v>526</v>
      </c>
      <c r="J196" s="12" t="s">
        <v>238</v>
      </c>
      <c r="K196" s="130">
        <v>0</v>
      </c>
      <c r="L196" s="130">
        <v>2367.4</v>
      </c>
      <c r="M196" s="130">
        <v>0</v>
      </c>
      <c r="N196" s="130">
        <v>0</v>
      </c>
      <c r="O196" s="130">
        <f>M196/L196*100</f>
        <v>0</v>
      </c>
    </row>
  </sheetData>
  <sheetProtection/>
  <autoFilter ref="A13:O196"/>
  <mergeCells count="79">
    <mergeCell ref="D135:D140"/>
    <mergeCell ref="D76:D77"/>
    <mergeCell ref="A52:A53"/>
    <mergeCell ref="B52:B53"/>
    <mergeCell ref="C52:C53"/>
    <mergeCell ref="D52:D53"/>
    <mergeCell ref="B132:B133"/>
    <mergeCell ref="C132:C133"/>
    <mergeCell ref="D132:D133"/>
    <mergeCell ref="A115:A116"/>
    <mergeCell ref="A153:A155"/>
    <mergeCell ref="C153:C155"/>
    <mergeCell ref="D153:D155"/>
    <mergeCell ref="A135:A140"/>
    <mergeCell ref="B135:B140"/>
    <mergeCell ref="A177:A178"/>
    <mergeCell ref="B177:B178"/>
    <mergeCell ref="C177:C178"/>
    <mergeCell ref="D177:D178"/>
    <mergeCell ref="C135:C140"/>
    <mergeCell ref="D188:D189"/>
    <mergeCell ref="C188:C189"/>
    <mergeCell ref="B188:B189"/>
    <mergeCell ref="A188:A189"/>
    <mergeCell ref="D192:D193"/>
    <mergeCell ref="C192:C193"/>
    <mergeCell ref="B192:B193"/>
    <mergeCell ref="A192:A193"/>
    <mergeCell ref="A184:A185"/>
    <mergeCell ref="B184:B185"/>
    <mergeCell ref="C184:C185"/>
    <mergeCell ref="D184:D185"/>
    <mergeCell ref="G132:G133"/>
    <mergeCell ref="A142:A143"/>
    <mergeCell ref="B142:B143"/>
    <mergeCell ref="C142:C143"/>
    <mergeCell ref="D142:D143"/>
    <mergeCell ref="A132:A133"/>
    <mergeCell ref="F132:F133"/>
    <mergeCell ref="A120:A121"/>
    <mergeCell ref="B120:B121"/>
    <mergeCell ref="C120:C121"/>
    <mergeCell ref="D120:D121"/>
    <mergeCell ref="A126:A131"/>
    <mergeCell ref="B126:B131"/>
    <mergeCell ref="C126:C131"/>
    <mergeCell ref="D126:D131"/>
    <mergeCell ref="B115:B116"/>
    <mergeCell ref="C115:C116"/>
    <mergeCell ref="D115:D116"/>
    <mergeCell ref="A76:A77"/>
    <mergeCell ref="B76:B77"/>
    <mergeCell ref="C76:C77"/>
    <mergeCell ref="E14:E17"/>
    <mergeCell ref="A58:A59"/>
    <mergeCell ref="B58:B59"/>
    <mergeCell ref="C58:C59"/>
    <mergeCell ref="D58:D59"/>
    <mergeCell ref="A21:A23"/>
    <mergeCell ref="B21:B23"/>
    <mergeCell ref="C21:C23"/>
    <mergeCell ref="D21:D23"/>
    <mergeCell ref="A18:A20"/>
    <mergeCell ref="B18:B20"/>
    <mergeCell ref="C18:C20"/>
    <mergeCell ref="D18:D20"/>
    <mergeCell ref="A14:A17"/>
    <mergeCell ref="B14:B17"/>
    <mergeCell ref="C14:C17"/>
    <mergeCell ref="D14:D17"/>
    <mergeCell ref="N1:O1"/>
    <mergeCell ref="A5:O5"/>
    <mergeCell ref="A7:O7"/>
    <mergeCell ref="A11:D12"/>
    <mergeCell ref="E11:E13"/>
    <mergeCell ref="F11:F13"/>
    <mergeCell ref="G11:J12"/>
    <mergeCell ref="K11:M12"/>
    <mergeCell ref="N11:O12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zoomScalePageLayoutView="0" workbookViewId="0" topLeftCell="A1">
      <pane ySplit="12" topLeftCell="A112" activePane="bottomLeft" state="frozen"/>
      <selection pane="topLeft" activeCell="A1" sqref="A1"/>
      <selection pane="bottomLeft" activeCell="F51" sqref="F51"/>
    </sheetView>
  </sheetViews>
  <sheetFormatPr defaultColWidth="9.140625" defaultRowHeight="15"/>
  <cols>
    <col min="1" max="1" width="9.140625" style="60" customWidth="1"/>
    <col min="2" max="2" width="9.140625" style="61" customWidth="1"/>
    <col min="3" max="3" width="27.421875" style="32" customWidth="1"/>
    <col min="4" max="4" width="29.8515625" style="32" customWidth="1"/>
    <col min="5" max="5" width="20.8515625" style="36" customWidth="1"/>
    <col min="6" max="6" width="15.8515625" style="36" customWidth="1"/>
    <col min="7" max="7" width="22.8515625" style="36" customWidth="1"/>
    <col min="8" max="16384" width="9.140625" style="25" customWidth="1"/>
  </cols>
  <sheetData>
    <row r="1" spans="1:7" ht="15.75">
      <c r="A1" s="52"/>
      <c r="B1" s="53"/>
      <c r="C1" s="26"/>
      <c r="D1" s="26"/>
      <c r="E1" s="34"/>
      <c r="F1" s="35"/>
      <c r="G1" s="49" t="s">
        <v>434</v>
      </c>
    </row>
    <row r="2" spans="1:6" ht="15">
      <c r="A2" s="52"/>
      <c r="B2" s="53"/>
      <c r="C2" s="26"/>
      <c r="D2" s="26"/>
      <c r="E2" s="34"/>
      <c r="F2" s="34"/>
    </row>
    <row r="3" spans="1:6" ht="15">
      <c r="A3" s="54" t="s">
        <v>298</v>
      </c>
      <c r="B3" s="55"/>
      <c r="C3" s="27"/>
      <c r="D3" s="27"/>
      <c r="E3" s="35"/>
      <c r="F3" s="35"/>
    </row>
    <row r="4" spans="1:7" ht="15">
      <c r="A4" s="192" t="s">
        <v>299</v>
      </c>
      <c r="B4" s="192"/>
      <c r="C4" s="192"/>
      <c r="D4" s="192"/>
      <c r="E4" s="192"/>
      <c r="F4" s="192"/>
      <c r="G4" s="192"/>
    </row>
    <row r="5" spans="1:7" ht="15" customHeight="1">
      <c r="A5" s="193" t="s">
        <v>435</v>
      </c>
      <c r="B5" s="193"/>
      <c r="C5" s="193"/>
      <c r="D5" s="193"/>
      <c r="E5" s="193"/>
      <c r="F5" s="193"/>
      <c r="G5" s="193"/>
    </row>
    <row r="6" spans="1:7" ht="15" customHeight="1">
      <c r="A6" s="194" t="s">
        <v>530</v>
      </c>
      <c r="B6" s="194"/>
      <c r="C6" s="194"/>
      <c r="D6" s="194"/>
      <c r="E6" s="194"/>
      <c r="F6" s="194"/>
      <c r="G6" s="194"/>
    </row>
    <row r="7" spans="1:7" ht="15" customHeight="1">
      <c r="A7" s="56"/>
      <c r="B7" s="57"/>
      <c r="C7" s="33"/>
      <c r="D7" s="28"/>
      <c r="E7" s="37"/>
      <c r="F7" s="37"/>
      <c r="G7" s="37"/>
    </row>
    <row r="8" spans="1:7" ht="15">
      <c r="A8" s="54" t="s">
        <v>300</v>
      </c>
      <c r="B8" s="55"/>
      <c r="C8" s="27"/>
      <c r="D8" s="27"/>
      <c r="E8" s="35" t="s">
        <v>9</v>
      </c>
      <c r="F8" s="35"/>
      <c r="G8" s="35"/>
    </row>
    <row r="9" spans="1:7" ht="15">
      <c r="A9" s="54" t="s">
        <v>301</v>
      </c>
      <c r="B9" s="55"/>
      <c r="C9" s="27"/>
      <c r="D9" s="27"/>
      <c r="E9" s="195" t="s">
        <v>10</v>
      </c>
      <c r="F9" s="195"/>
      <c r="G9" s="195"/>
    </row>
    <row r="10" spans="1:7" ht="15">
      <c r="A10" s="58"/>
      <c r="B10" s="59"/>
      <c r="C10" s="27"/>
      <c r="D10" s="27"/>
      <c r="E10" s="38"/>
      <c r="F10" s="38"/>
      <c r="G10" s="38"/>
    </row>
    <row r="11" spans="1:7" ht="52.5" customHeight="1">
      <c r="A11" s="196" t="s">
        <v>11</v>
      </c>
      <c r="B11" s="197"/>
      <c r="C11" s="185" t="s">
        <v>302</v>
      </c>
      <c r="D11" s="185" t="s">
        <v>303</v>
      </c>
      <c r="E11" s="198" t="s">
        <v>304</v>
      </c>
      <c r="F11" s="199"/>
      <c r="G11" s="185" t="s">
        <v>305</v>
      </c>
    </row>
    <row r="12" spans="1:7" ht="67.5" customHeight="1">
      <c r="A12" s="44" t="s">
        <v>12</v>
      </c>
      <c r="B12" s="50" t="s">
        <v>13</v>
      </c>
      <c r="C12" s="191"/>
      <c r="D12" s="191"/>
      <c r="E12" s="48" t="s">
        <v>306</v>
      </c>
      <c r="F12" s="45" t="s">
        <v>307</v>
      </c>
      <c r="G12" s="191"/>
    </row>
    <row r="13" spans="1:7" ht="15">
      <c r="A13" s="47">
        <v>1</v>
      </c>
      <c r="B13" s="51"/>
      <c r="C13" s="46">
        <v>2</v>
      </c>
      <c r="D13" s="46">
        <v>3</v>
      </c>
      <c r="E13" s="47">
        <v>4</v>
      </c>
      <c r="F13" s="46">
        <v>5</v>
      </c>
      <c r="G13" s="46">
        <v>6</v>
      </c>
    </row>
    <row r="14" spans="1:7" ht="31.5" customHeight="1">
      <c r="A14" s="185"/>
      <c r="B14" s="187"/>
      <c r="C14" s="189" t="s">
        <v>9</v>
      </c>
      <c r="D14" s="30" t="s">
        <v>437</v>
      </c>
      <c r="E14" s="40">
        <f>E15+E20+E23-6800971.5</f>
        <v>7088223.699999999</v>
      </c>
      <c r="F14" s="40">
        <f>F15+F20+F23-6800971.5</f>
        <v>163771.58672000095</v>
      </c>
      <c r="G14" s="39">
        <f>F14/E14*100</f>
        <v>2.3104742972488435</v>
      </c>
    </row>
    <row r="15" spans="1:7" ht="30" customHeight="1">
      <c r="A15" s="186"/>
      <c r="B15" s="188"/>
      <c r="C15" s="190"/>
      <c r="D15" s="30" t="s">
        <v>308</v>
      </c>
      <c r="E15" s="40">
        <f>E25+E34+E43+E52+E61+E70+E79+E97+E106+E115+E88</f>
        <v>11305953.8</v>
      </c>
      <c r="F15" s="40">
        <f>F25+F34+F43+F52+F61+F70+F79+F97+F106+F115+F88</f>
        <v>5803690.496720001</v>
      </c>
      <c r="G15" s="39">
        <f aca="true" t="shared" si="0" ref="G15:G78">F15/E15*100</f>
        <v>51.33304628150878</v>
      </c>
    </row>
    <row r="16" spans="1:7" ht="30" customHeight="1">
      <c r="A16" s="186"/>
      <c r="B16" s="188"/>
      <c r="C16" s="190"/>
      <c r="D16" s="30" t="s">
        <v>309</v>
      </c>
      <c r="E16" s="40">
        <f>E26+E35+E44+E53+E62+E71+E80+E89+E98+E107+E116</f>
        <v>254090.7</v>
      </c>
      <c r="F16" s="40">
        <f aca="true" t="shared" si="1" ref="E16:F18">F26+F35+F44+F53+F62+F71+F80+F89+F98+F107+F116</f>
        <v>76633.03936</v>
      </c>
      <c r="G16" s="39">
        <f t="shared" si="0"/>
        <v>30.15971830531381</v>
      </c>
    </row>
    <row r="17" spans="1:7" ht="30" customHeight="1">
      <c r="A17" s="186"/>
      <c r="B17" s="188"/>
      <c r="C17" s="190"/>
      <c r="D17" s="30" t="s">
        <v>310</v>
      </c>
      <c r="E17" s="40">
        <f t="shared" si="1"/>
        <v>1382.7</v>
      </c>
      <c r="F17" s="40">
        <f t="shared" si="1"/>
        <v>80469.95999999999</v>
      </c>
      <c r="G17" s="39">
        <f t="shared" si="0"/>
        <v>5819.770015187675</v>
      </c>
    </row>
    <row r="18" spans="1:7" ht="45" customHeight="1">
      <c r="A18" s="186"/>
      <c r="B18" s="188"/>
      <c r="C18" s="190"/>
      <c r="D18" s="30" t="s">
        <v>311</v>
      </c>
      <c r="E18" s="40">
        <f t="shared" si="1"/>
        <v>778699.5</v>
      </c>
      <c r="F18" s="40">
        <f t="shared" si="1"/>
        <v>326587.62158</v>
      </c>
      <c r="G18" s="39">
        <f t="shared" si="0"/>
        <v>41.94013500458135</v>
      </c>
    </row>
    <row r="19" spans="1:7" ht="46.5" customHeight="1">
      <c r="A19" s="186"/>
      <c r="B19" s="188"/>
      <c r="C19" s="190"/>
      <c r="D19" s="30" t="s">
        <v>312</v>
      </c>
      <c r="E19" s="40">
        <f>E29+E38+E47+E56+E65+E74+E83+E92+E101+E110+E119</f>
        <v>199888.6</v>
      </c>
      <c r="F19" s="40">
        <v>0</v>
      </c>
      <c r="G19" s="39">
        <v>0</v>
      </c>
    </row>
    <row r="20" spans="1:7" ht="60" customHeight="1">
      <c r="A20" s="186"/>
      <c r="B20" s="188"/>
      <c r="C20" s="190"/>
      <c r="D20" s="30" t="s">
        <v>313</v>
      </c>
      <c r="E20" s="40">
        <f>E30+E39+E48+E57+E66+E75+E84+E93+E102+E111+E120</f>
        <v>0</v>
      </c>
      <c r="F20" s="40">
        <f>F30+F39+F48+F57+F66+F75+F84+F93+F102+F111+F120</f>
        <v>0</v>
      </c>
      <c r="G20" s="39" t="e">
        <f t="shared" si="0"/>
        <v>#DIV/0!</v>
      </c>
    </row>
    <row r="21" spans="1:7" ht="75" customHeight="1">
      <c r="A21" s="186"/>
      <c r="B21" s="188"/>
      <c r="C21" s="190"/>
      <c r="D21" s="31" t="s">
        <v>314</v>
      </c>
      <c r="E21" s="41"/>
      <c r="F21" s="40">
        <v>18281702.4</v>
      </c>
      <c r="G21" s="39" t="e">
        <f t="shared" si="0"/>
        <v>#DIV/0!</v>
      </c>
    </row>
    <row r="22" spans="1:7" ht="45" customHeight="1">
      <c r="A22" s="186"/>
      <c r="B22" s="188"/>
      <c r="C22" s="190"/>
      <c r="D22" s="31" t="s">
        <v>315</v>
      </c>
      <c r="E22" s="41">
        <v>0</v>
      </c>
      <c r="F22" s="40">
        <v>0</v>
      </c>
      <c r="G22" s="39">
        <v>0</v>
      </c>
    </row>
    <row r="23" spans="1:7" ht="24.75" customHeight="1">
      <c r="A23" s="186"/>
      <c r="B23" s="188"/>
      <c r="C23" s="190"/>
      <c r="D23" s="31" t="s">
        <v>316</v>
      </c>
      <c r="E23" s="41">
        <f>E32+E41+E50+E59+E68+E77+E86+E95+E104+E113+E122</f>
        <v>2583241.3999999994</v>
      </c>
      <c r="F23" s="41">
        <f>F32+F41+F50+F59+F68+F77+F86+F95+F104+F113+F122</f>
        <v>1161052.59</v>
      </c>
      <c r="G23" s="39">
        <f t="shared" si="0"/>
        <v>44.945570708180824</v>
      </c>
    </row>
    <row r="24" spans="1:7" ht="24.75" customHeight="1">
      <c r="A24" s="173" t="s">
        <v>18</v>
      </c>
      <c r="B24" s="176">
        <v>1</v>
      </c>
      <c r="C24" s="182" t="s">
        <v>52</v>
      </c>
      <c r="D24" s="29" t="s">
        <v>317</v>
      </c>
      <c r="E24" s="40">
        <f>E25+E30+E32</f>
        <v>1684922.2</v>
      </c>
      <c r="F24" s="40">
        <f>F25+F30+F32</f>
        <v>854288.68036</v>
      </c>
      <c r="G24" s="39">
        <f t="shared" si="0"/>
        <v>50.70196596376972</v>
      </c>
    </row>
    <row r="25" spans="1:7" ht="30" customHeight="1">
      <c r="A25" s="174"/>
      <c r="B25" s="177"/>
      <c r="C25" s="183"/>
      <c r="D25" s="29" t="s">
        <v>308</v>
      </c>
      <c r="E25" s="40">
        <v>410766.3</v>
      </c>
      <c r="F25" s="40">
        <f>'Форма 1'!M18</f>
        <v>292083.21036</v>
      </c>
      <c r="G25" s="39">
        <f t="shared" si="0"/>
        <v>71.10690686163885</v>
      </c>
    </row>
    <row r="26" spans="1:7" ht="30" customHeight="1">
      <c r="A26" s="174"/>
      <c r="B26" s="177"/>
      <c r="C26" s="183"/>
      <c r="D26" s="29" t="s">
        <v>309</v>
      </c>
      <c r="E26" s="40">
        <v>0</v>
      </c>
      <c r="F26" s="40">
        <v>0</v>
      </c>
      <c r="G26" s="39">
        <v>0</v>
      </c>
    </row>
    <row r="27" spans="1:7" ht="30" customHeight="1">
      <c r="A27" s="174"/>
      <c r="B27" s="177"/>
      <c r="C27" s="183"/>
      <c r="D27" s="29" t="s">
        <v>310</v>
      </c>
      <c r="E27" s="40"/>
      <c r="F27" s="40">
        <f>'Форма 1'!M56</f>
        <v>79864.29</v>
      </c>
      <c r="G27" s="39" t="e">
        <f t="shared" si="0"/>
        <v>#DIV/0!</v>
      </c>
    </row>
    <row r="28" spans="1:7" ht="45" customHeight="1">
      <c r="A28" s="174"/>
      <c r="B28" s="177"/>
      <c r="C28" s="183"/>
      <c r="D28" s="29" t="s">
        <v>318</v>
      </c>
      <c r="E28" s="40">
        <v>197879.5</v>
      </c>
      <c r="F28" s="40">
        <f>'Форма 1'!M48+'Форма 1'!M51</f>
        <v>55714.06158</v>
      </c>
      <c r="G28" s="39">
        <f t="shared" si="0"/>
        <v>28.155550008970103</v>
      </c>
    </row>
    <row r="29" spans="1:7" ht="60.75" customHeight="1">
      <c r="A29" s="174"/>
      <c r="B29" s="177"/>
      <c r="C29" s="183"/>
      <c r="D29" s="29" t="s">
        <v>312</v>
      </c>
      <c r="E29" s="40">
        <v>199888.6</v>
      </c>
      <c r="F29" s="40">
        <v>0</v>
      </c>
      <c r="G29" s="39">
        <v>0</v>
      </c>
    </row>
    <row r="30" spans="1:7" ht="75" customHeight="1">
      <c r="A30" s="174"/>
      <c r="B30" s="177"/>
      <c r="C30" s="183"/>
      <c r="D30" s="29" t="s">
        <v>313</v>
      </c>
      <c r="E30" s="40"/>
      <c r="F30" s="40"/>
      <c r="G30" s="39" t="e">
        <f t="shared" si="0"/>
        <v>#DIV/0!</v>
      </c>
    </row>
    <row r="31" spans="1:7" ht="45" customHeight="1">
      <c r="A31" s="174"/>
      <c r="B31" s="177"/>
      <c r="C31" s="183"/>
      <c r="D31" s="29" t="s">
        <v>315</v>
      </c>
      <c r="E31" s="40">
        <v>0</v>
      </c>
      <c r="F31" s="40">
        <v>0</v>
      </c>
      <c r="G31" s="39">
        <v>0</v>
      </c>
    </row>
    <row r="32" spans="1:7" ht="24.75" customHeight="1">
      <c r="A32" s="175"/>
      <c r="B32" s="178"/>
      <c r="C32" s="184"/>
      <c r="D32" s="29" t="s">
        <v>316</v>
      </c>
      <c r="E32" s="40">
        <v>1274155.9</v>
      </c>
      <c r="F32" s="40">
        <v>562205.47</v>
      </c>
      <c r="G32" s="39">
        <f t="shared" si="0"/>
        <v>44.12375832502129</v>
      </c>
    </row>
    <row r="33" spans="1:7" ht="24.75" customHeight="1">
      <c r="A33" s="173" t="s">
        <v>18</v>
      </c>
      <c r="B33" s="176">
        <v>2</v>
      </c>
      <c r="C33" s="182" t="s">
        <v>105</v>
      </c>
      <c r="D33" s="29" t="s">
        <v>317</v>
      </c>
      <c r="E33" s="40">
        <f>E34+E39+E41</f>
        <v>3410338.8</v>
      </c>
      <c r="F33" s="40">
        <f>F34+F39+F41</f>
        <v>1953245.7153599998</v>
      </c>
      <c r="G33" s="39">
        <f t="shared" si="0"/>
        <v>57.27424252863088</v>
      </c>
    </row>
    <row r="34" spans="1:7" ht="30" customHeight="1">
      <c r="A34" s="174"/>
      <c r="B34" s="177"/>
      <c r="C34" s="183"/>
      <c r="D34" s="29" t="s">
        <v>308</v>
      </c>
      <c r="E34" s="40">
        <v>2576573.1</v>
      </c>
      <c r="F34" s="40">
        <f>'Форма 1'!M58</f>
        <v>1579221.4753599998</v>
      </c>
      <c r="G34" s="39">
        <f t="shared" si="0"/>
        <v>61.29154555560638</v>
      </c>
    </row>
    <row r="35" spans="1:7" ht="30" customHeight="1">
      <c r="A35" s="174"/>
      <c r="B35" s="177"/>
      <c r="C35" s="183"/>
      <c r="D35" s="29" t="s">
        <v>309</v>
      </c>
      <c r="E35" s="40">
        <v>62726.5</v>
      </c>
      <c r="F35" s="42">
        <f>'Форма 1'!M66+7707.86+20751.756</f>
        <v>49944.37736</v>
      </c>
      <c r="G35" s="39">
        <f t="shared" si="0"/>
        <v>79.62245200991606</v>
      </c>
    </row>
    <row r="36" spans="1:7" ht="30" customHeight="1">
      <c r="A36" s="174"/>
      <c r="B36" s="177"/>
      <c r="C36" s="183"/>
      <c r="D36" s="29" t="s">
        <v>310</v>
      </c>
      <c r="E36" s="40">
        <v>0</v>
      </c>
      <c r="F36" s="40">
        <v>0</v>
      </c>
      <c r="G36" s="39">
        <v>0</v>
      </c>
    </row>
    <row r="37" spans="1:7" ht="45" customHeight="1">
      <c r="A37" s="174"/>
      <c r="B37" s="177"/>
      <c r="C37" s="183"/>
      <c r="D37" s="29" t="s">
        <v>318</v>
      </c>
      <c r="E37" s="40">
        <v>422413.8</v>
      </c>
      <c r="F37" s="40">
        <f>'Форма 1'!M96</f>
        <v>269839.7</v>
      </c>
      <c r="G37" s="39">
        <f t="shared" si="0"/>
        <v>63.88041773256461</v>
      </c>
    </row>
    <row r="38" spans="1:7" ht="60.75" customHeight="1">
      <c r="A38" s="174"/>
      <c r="B38" s="177"/>
      <c r="C38" s="183"/>
      <c r="D38" s="29" t="s">
        <v>312</v>
      </c>
      <c r="E38" s="40">
        <v>0</v>
      </c>
      <c r="F38" s="40">
        <v>0</v>
      </c>
      <c r="G38" s="39">
        <v>0</v>
      </c>
    </row>
    <row r="39" spans="1:7" ht="75" customHeight="1">
      <c r="A39" s="174"/>
      <c r="B39" s="177"/>
      <c r="C39" s="183"/>
      <c r="D39" s="29" t="s">
        <v>313</v>
      </c>
      <c r="E39" s="40"/>
      <c r="F39" s="40"/>
      <c r="G39" s="39" t="e">
        <f t="shared" si="0"/>
        <v>#DIV/0!</v>
      </c>
    </row>
    <row r="40" spans="1:7" ht="45" customHeight="1">
      <c r="A40" s="174"/>
      <c r="B40" s="177"/>
      <c r="C40" s="183"/>
      <c r="D40" s="29" t="s">
        <v>315</v>
      </c>
      <c r="E40" s="40">
        <v>0</v>
      </c>
      <c r="F40" s="40">
        <v>0</v>
      </c>
      <c r="G40" s="39">
        <v>0</v>
      </c>
    </row>
    <row r="41" spans="1:7" ht="24.75" customHeight="1">
      <c r="A41" s="175"/>
      <c r="B41" s="178"/>
      <c r="C41" s="184"/>
      <c r="D41" s="29" t="s">
        <v>316</v>
      </c>
      <c r="E41" s="40">
        <v>833765.7</v>
      </c>
      <c r="F41" s="40">
        <v>374024.24</v>
      </c>
      <c r="G41" s="39">
        <f t="shared" si="0"/>
        <v>44.8596338275849</v>
      </c>
    </row>
    <row r="42" spans="1:7" ht="24.75" customHeight="1">
      <c r="A42" s="173" t="s">
        <v>18</v>
      </c>
      <c r="B42" s="176">
        <v>3</v>
      </c>
      <c r="C42" s="182" t="s">
        <v>153</v>
      </c>
      <c r="D42" s="29" t="s">
        <v>317</v>
      </c>
      <c r="E42" s="40">
        <f>E43+E48+E50</f>
        <v>489433.4</v>
      </c>
      <c r="F42" s="40">
        <f>F43+F48+F50</f>
        <v>198953.397</v>
      </c>
      <c r="G42" s="39">
        <f t="shared" si="0"/>
        <v>40.64973845266792</v>
      </c>
    </row>
    <row r="43" spans="1:7" ht="30" customHeight="1">
      <c r="A43" s="174"/>
      <c r="B43" s="177"/>
      <c r="C43" s="183"/>
      <c r="D43" s="29" t="s">
        <v>308</v>
      </c>
      <c r="E43" s="40">
        <v>270049</v>
      </c>
      <c r="F43" s="40">
        <f>'Форма 1'!M98</f>
        <v>104334.59700000001</v>
      </c>
      <c r="G43" s="39">
        <f t="shared" si="0"/>
        <v>38.63543171794749</v>
      </c>
    </row>
    <row r="44" spans="1:7" ht="30" customHeight="1">
      <c r="A44" s="174"/>
      <c r="B44" s="177"/>
      <c r="C44" s="183"/>
      <c r="D44" s="29" t="s">
        <v>309</v>
      </c>
      <c r="E44" s="40">
        <v>134364.2</v>
      </c>
      <c r="F44" s="40">
        <f>2079.836+24608.826</f>
        <v>26688.662</v>
      </c>
      <c r="G44" s="39">
        <f t="shared" si="0"/>
        <v>19.86292628542424</v>
      </c>
    </row>
    <row r="45" spans="1:7" ht="30" customHeight="1">
      <c r="A45" s="174"/>
      <c r="B45" s="177"/>
      <c r="C45" s="183"/>
      <c r="D45" s="29" t="s">
        <v>310</v>
      </c>
      <c r="E45" s="40">
        <v>0</v>
      </c>
      <c r="F45" s="40">
        <v>0</v>
      </c>
      <c r="G45" s="39">
        <v>0</v>
      </c>
    </row>
    <row r="46" spans="1:7" ht="45" customHeight="1">
      <c r="A46" s="174"/>
      <c r="B46" s="177"/>
      <c r="C46" s="183"/>
      <c r="D46" s="29" t="s">
        <v>318</v>
      </c>
      <c r="E46" s="40">
        <v>0</v>
      </c>
      <c r="F46" s="40">
        <v>0</v>
      </c>
      <c r="G46" s="39">
        <v>0</v>
      </c>
    </row>
    <row r="47" spans="1:7" ht="60.75" customHeight="1">
      <c r="A47" s="174"/>
      <c r="B47" s="177"/>
      <c r="C47" s="183"/>
      <c r="D47" s="29" t="s">
        <v>312</v>
      </c>
      <c r="E47" s="40">
        <v>0</v>
      </c>
      <c r="F47" s="40">
        <v>0</v>
      </c>
      <c r="G47" s="39">
        <v>0</v>
      </c>
    </row>
    <row r="48" spans="1:7" ht="75" customHeight="1">
      <c r="A48" s="174"/>
      <c r="B48" s="177"/>
      <c r="C48" s="183"/>
      <c r="D48" s="29" t="s">
        <v>313</v>
      </c>
      <c r="E48" s="40"/>
      <c r="F48" s="40"/>
      <c r="G48" s="39" t="e">
        <f t="shared" si="0"/>
        <v>#DIV/0!</v>
      </c>
    </row>
    <row r="49" spans="1:7" ht="45" customHeight="1">
      <c r="A49" s="174"/>
      <c r="B49" s="177"/>
      <c r="C49" s="183"/>
      <c r="D49" s="29" t="s">
        <v>315</v>
      </c>
      <c r="E49" s="40">
        <v>0</v>
      </c>
      <c r="F49" s="40">
        <v>0</v>
      </c>
      <c r="G49" s="39">
        <v>0</v>
      </c>
    </row>
    <row r="50" spans="1:7" ht="24.75" customHeight="1">
      <c r="A50" s="175"/>
      <c r="B50" s="178"/>
      <c r="C50" s="184"/>
      <c r="D50" s="29" t="s">
        <v>316</v>
      </c>
      <c r="E50" s="40">
        <v>219384.4</v>
      </c>
      <c r="F50" s="40">
        <f>17680.8+76938</f>
        <v>94618.8</v>
      </c>
      <c r="G50" s="39">
        <f t="shared" si="0"/>
        <v>43.12922887862583</v>
      </c>
    </row>
    <row r="51" spans="1:7" ht="24.75" customHeight="1">
      <c r="A51" s="173" t="s">
        <v>18</v>
      </c>
      <c r="B51" s="176">
        <v>4</v>
      </c>
      <c r="C51" s="182" t="s">
        <v>319</v>
      </c>
      <c r="D51" s="29" t="s">
        <v>317</v>
      </c>
      <c r="E51" s="40">
        <f>E52+E57+E59</f>
        <v>405392</v>
      </c>
      <c r="F51" s="40">
        <f>F52+F57+F59</f>
        <v>206145.32</v>
      </c>
      <c r="G51" s="39">
        <f t="shared" si="0"/>
        <v>50.85086040178396</v>
      </c>
    </row>
    <row r="52" spans="1:7" ht="30" customHeight="1">
      <c r="A52" s="174"/>
      <c r="B52" s="177"/>
      <c r="C52" s="183"/>
      <c r="D52" s="29" t="s">
        <v>308</v>
      </c>
      <c r="E52" s="40">
        <v>214695.9</v>
      </c>
      <c r="F52" s="40">
        <f>'Форма 1'!M115</f>
        <v>136947.22</v>
      </c>
      <c r="G52" s="39">
        <f t="shared" si="0"/>
        <v>63.78660235244362</v>
      </c>
    </row>
    <row r="53" spans="1:7" ht="30" customHeight="1">
      <c r="A53" s="174"/>
      <c r="B53" s="177"/>
      <c r="C53" s="183"/>
      <c r="D53" s="29" t="s">
        <v>309</v>
      </c>
      <c r="E53" s="40">
        <v>0</v>
      </c>
      <c r="F53" s="40">
        <v>0</v>
      </c>
      <c r="G53" s="39">
        <v>0</v>
      </c>
    </row>
    <row r="54" spans="1:7" ht="30" customHeight="1">
      <c r="A54" s="174"/>
      <c r="B54" s="177"/>
      <c r="C54" s="183"/>
      <c r="D54" s="29" t="s">
        <v>310</v>
      </c>
      <c r="E54" s="40">
        <v>0</v>
      </c>
      <c r="F54" s="40">
        <v>0</v>
      </c>
      <c r="G54" s="39">
        <v>0</v>
      </c>
    </row>
    <row r="55" spans="1:7" ht="45" customHeight="1">
      <c r="A55" s="174"/>
      <c r="B55" s="177"/>
      <c r="C55" s="183"/>
      <c r="D55" s="29" t="s">
        <v>318</v>
      </c>
      <c r="E55" s="40">
        <v>0</v>
      </c>
      <c r="F55" s="40">
        <v>0</v>
      </c>
      <c r="G55" s="39">
        <v>0</v>
      </c>
    </row>
    <row r="56" spans="1:7" ht="60.75" customHeight="1">
      <c r="A56" s="174"/>
      <c r="B56" s="177"/>
      <c r="C56" s="183"/>
      <c r="D56" s="29" t="s">
        <v>312</v>
      </c>
      <c r="E56" s="40">
        <v>0</v>
      </c>
      <c r="F56" s="40">
        <v>0</v>
      </c>
      <c r="G56" s="39">
        <v>0</v>
      </c>
    </row>
    <row r="57" spans="1:7" ht="75" customHeight="1">
      <c r="A57" s="174"/>
      <c r="B57" s="177"/>
      <c r="C57" s="183"/>
      <c r="D57" s="29" t="s">
        <v>313</v>
      </c>
      <c r="E57" s="40"/>
      <c r="F57" s="40"/>
      <c r="G57" s="39" t="e">
        <f t="shared" si="0"/>
        <v>#DIV/0!</v>
      </c>
    </row>
    <row r="58" spans="1:7" ht="45" customHeight="1">
      <c r="A58" s="174"/>
      <c r="B58" s="177"/>
      <c r="C58" s="183"/>
      <c r="D58" s="29" t="s">
        <v>315</v>
      </c>
      <c r="E58" s="40">
        <v>0</v>
      </c>
      <c r="F58" s="40">
        <v>0</v>
      </c>
      <c r="G58" s="39">
        <v>0</v>
      </c>
    </row>
    <row r="59" spans="1:7" ht="24.75" customHeight="1">
      <c r="A59" s="175"/>
      <c r="B59" s="178"/>
      <c r="C59" s="184"/>
      <c r="D59" s="29" t="s">
        <v>316</v>
      </c>
      <c r="E59" s="40">
        <v>190696.1</v>
      </c>
      <c r="F59" s="40">
        <v>69198.1</v>
      </c>
      <c r="G59" s="39">
        <f t="shared" si="0"/>
        <v>36.28710812649027</v>
      </c>
    </row>
    <row r="60" spans="1:7" ht="24.75" customHeight="1">
      <c r="A60" s="173" t="s">
        <v>18</v>
      </c>
      <c r="B60" s="176">
        <v>5</v>
      </c>
      <c r="C60" s="182" t="s">
        <v>17</v>
      </c>
      <c r="D60" s="29" t="s">
        <v>317</v>
      </c>
      <c r="E60" s="40">
        <f>E61+E66+E68</f>
        <v>168563.7</v>
      </c>
      <c r="F60" s="40">
        <f>F61+F66+F68</f>
        <v>59434.057</v>
      </c>
      <c r="G60" s="39">
        <f t="shared" si="0"/>
        <v>35.2591079811371</v>
      </c>
    </row>
    <row r="61" spans="1:7" ht="30" customHeight="1">
      <c r="A61" s="174"/>
      <c r="B61" s="177"/>
      <c r="C61" s="183"/>
      <c r="D61" s="29" t="s">
        <v>308</v>
      </c>
      <c r="E61" s="40">
        <v>157403.7</v>
      </c>
      <c r="F61" s="40">
        <f>'Форма 1'!M120</f>
        <v>24175.157</v>
      </c>
      <c r="G61" s="39">
        <f t="shared" si="0"/>
        <v>15.35869677777587</v>
      </c>
    </row>
    <row r="62" spans="1:7" ht="30" customHeight="1">
      <c r="A62" s="174"/>
      <c r="B62" s="177"/>
      <c r="C62" s="183"/>
      <c r="D62" s="29" t="s">
        <v>309</v>
      </c>
      <c r="E62" s="40">
        <v>57000</v>
      </c>
      <c r="F62" s="40">
        <v>0</v>
      </c>
      <c r="G62" s="39">
        <v>0</v>
      </c>
    </row>
    <row r="63" spans="1:7" ht="30" customHeight="1">
      <c r="A63" s="174"/>
      <c r="B63" s="177"/>
      <c r="C63" s="183"/>
      <c r="D63" s="29" t="s">
        <v>310</v>
      </c>
      <c r="E63" s="40">
        <v>0</v>
      </c>
      <c r="F63" s="40">
        <v>0</v>
      </c>
      <c r="G63" s="39">
        <v>0</v>
      </c>
    </row>
    <row r="64" spans="1:7" ht="45" customHeight="1">
      <c r="A64" s="174"/>
      <c r="B64" s="177"/>
      <c r="C64" s="183"/>
      <c r="D64" s="29" t="s">
        <v>318</v>
      </c>
      <c r="E64" s="40">
        <v>0</v>
      </c>
      <c r="F64" s="40">
        <v>0</v>
      </c>
      <c r="G64" s="39">
        <v>0</v>
      </c>
    </row>
    <row r="65" spans="1:7" ht="60.75" customHeight="1">
      <c r="A65" s="174"/>
      <c r="B65" s="177"/>
      <c r="C65" s="183"/>
      <c r="D65" s="29" t="s">
        <v>312</v>
      </c>
      <c r="E65" s="40">
        <v>0</v>
      </c>
      <c r="F65" s="40">
        <v>0</v>
      </c>
      <c r="G65" s="39">
        <v>0</v>
      </c>
    </row>
    <row r="66" spans="1:7" ht="75" customHeight="1">
      <c r="A66" s="174"/>
      <c r="B66" s="177"/>
      <c r="C66" s="183"/>
      <c r="D66" s="29" t="s">
        <v>313</v>
      </c>
      <c r="E66" s="40">
        <v>0</v>
      </c>
      <c r="F66" s="40">
        <v>0</v>
      </c>
      <c r="G66" s="39">
        <v>0</v>
      </c>
    </row>
    <row r="67" spans="1:7" ht="45" customHeight="1">
      <c r="A67" s="174"/>
      <c r="B67" s="177"/>
      <c r="C67" s="183"/>
      <c r="D67" s="29" t="s">
        <v>315</v>
      </c>
      <c r="E67" s="40">
        <v>0</v>
      </c>
      <c r="F67" s="40">
        <v>0</v>
      </c>
      <c r="G67" s="39">
        <v>0</v>
      </c>
    </row>
    <row r="68" spans="1:7" ht="24.75" customHeight="1">
      <c r="A68" s="175"/>
      <c r="B68" s="178"/>
      <c r="C68" s="184"/>
      <c r="D68" s="29" t="s">
        <v>316</v>
      </c>
      <c r="E68" s="40">
        <v>11160</v>
      </c>
      <c r="F68" s="40">
        <v>35258.9</v>
      </c>
      <c r="G68" s="39">
        <f t="shared" si="0"/>
        <v>315.9399641577061</v>
      </c>
    </row>
    <row r="69" spans="1:7" ht="24.75" customHeight="1">
      <c r="A69" s="173" t="s">
        <v>18</v>
      </c>
      <c r="B69" s="176">
        <v>6</v>
      </c>
      <c r="C69" s="182" t="s">
        <v>198</v>
      </c>
      <c r="D69" s="29" t="s">
        <v>317</v>
      </c>
      <c r="E69" s="40">
        <f>E70+E75+E77</f>
        <v>150440.2</v>
      </c>
      <c r="F69" s="40">
        <f>F70+F75+F77</f>
        <v>87086.87000000001</v>
      </c>
      <c r="G69" s="39">
        <f t="shared" si="0"/>
        <v>57.88803125760269</v>
      </c>
    </row>
    <row r="70" spans="1:7" ht="30" customHeight="1">
      <c r="A70" s="174"/>
      <c r="B70" s="177"/>
      <c r="C70" s="183"/>
      <c r="D70" s="29" t="s">
        <v>308</v>
      </c>
      <c r="E70" s="40">
        <v>150440.2</v>
      </c>
      <c r="F70" s="40">
        <f>'Форма 1'!M142</f>
        <v>87086.87000000001</v>
      </c>
      <c r="G70" s="39">
        <f t="shared" si="0"/>
        <v>57.88803125760269</v>
      </c>
    </row>
    <row r="71" spans="1:7" ht="30" customHeight="1">
      <c r="A71" s="174"/>
      <c r="B71" s="177"/>
      <c r="C71" s="183"/>
      <c r="D71" s="29" t="s">
        <v>309</v>
      </c>
      <c r="E71" s="40">
        <v>0</v>
      </c>
      <c r="F71" s="40">
        <v>0</v>
      </c>
      <c r="G71" s="39">
        <v>0</v>
      </c>
    </row>
    <row r="72" spans="1:7" ht="30" customHeight="1">
      <c r="A72" s="174"/>
      <c r="B72" s="177"/>
      <c r="C72" s="183"/>
      <c r="D72" s="29" t="s">
        <v>310</v>
      </c>
      <c r="E72" s="40">
        <v>0</v>
      </c>
      <c r="F72" s="40">
        <v>0</v>
      </c>
      <c r="G72" s="39">
        <v>0</v>
      </c>
    </row>
    <row r="73" spans="1:7" ht="45" customHeight="1">
      <c r="A73" s="174"/>
      <c r="B73" s="177"/>
      <c r="C73" s="183"/>
      <c r="D73" s="29" t="s">
        <v>318</v>
      </c>
      <c r="E73" s="40">
        <v>3446.2</v>
      </c>
      <c r="F73" s="40">
        <f>'Форма 1'!M151</f>
        <v>1033.86</v>
      </c>
      <c r="G73" s="39">
        <v>0</v>
      </c>
    </row>
    <row r="74" spans="1:7" ht="60.75" customHeight="1">
      <c r="A74" s="174"/>
      <c r="B74" s="177"/>
      <c r="C74" s="183"/>
      <c r="D74" s="29" t="s">
        <v>312</v>
      </c>
      <c r="E74" s="40">
        <v>0</v>
      </c>
      <c r="F74" s="40">
        <v>0</v>
      </c>
      <c r="G74" s="39">
        <v>0</v>
      </c>
    </row>
    <row r="75" spans="1:7" ht="75" customHeight="1">
      <c r="A75" s="174"/>
      <c r="B75" s="177"/>
      <c r="C75" s="183"/>
      <c r="D75" s="29" t="s">
        <v>313</v>
      </c>
      <c r="E75" s="40">
        <v>0</v>
      </c>
      <c r="F75" s="40">
        <v>0</v>
      </c>
      <c r="G75" s="39">
        <v>0</v>
      </c>
    </row>
    <row r="76" spans="1:7" ht="45" customHeight="1">
      <c r="A76" s="174"/>
      <c r="B76" s="177"/>
      <c r="C76" s="183"/>
      <c r="D76" s="29" t="s">
        <v>315</v>
      </c>
      <c r="E76" s="40">
        <v>0</v>
      </c>
      <c r="F76" s="40">
        <v>0</v>
      </c>
      <c r="G76" s="39">
        <v>0</v>
      </c>
    </row>
    <row r="77" spans="1:7" ht="24.75" customHeight="1">
      <c r="A77" s="175"/>
      <c r="B77" s="178"/>
      <c r="C77" s="184"/>
      <c r="D77" s="29" t="s">
        <v>316</v>
      </c>
      <c r="E77" s="40">
        <v>0</v>
      </c>
      <c r="F77" s="40">
        <v>0</v>
      </c>
      <c r="G77" s="39">
        <v>0</v>
      </c>
    </row>
    <row r="78" spans="1:7" ht="24.75" customHeight="1">
      <c r="A78" s="173" t="s">
        <v>18</v>
      </c>
      <c r="B78" s="176">
        <v>7</v>
      </c>
      <c r="C78" s="182" t="s">
        <v>209</v>
      </c>
      <c r="D78" s="29" t="s">
        <v>317</v>
      </c>
      <c r="E78" s="40">
        <f>E79+E84+E86</f>
        <v>640259.8</v>
      </c>
      <c r="F78" s="40">
        <f>F79+F84+F86</f>
        <v>216720.07799999998</v>
      </c>
      <c r="G78" s="39">
        <f t="shared" si="0"/>
        <v>33.84877170173732</v>
      </c>
    </row>
    <row r="79" spans="1:7" ht="30" customHeight="1">
      <c r="A79" s="174"/>
      <c r="B79" s="177"/>
      <c r="C79" s="183"/>
      <c r="D79" s="29" t="s">
        <v>308</v>
      </c>
      <c r="E79" s="40">
        <v>586180.5</v>
      </c>
      <c r="F79" s="40">
        <f>'Форма 1'!M153</f>
        <v>190972.998</v>
      </c>
      <c r="G79" s="39">
        <f>F79/E79*100</f>
        <v>32.57921374047755</v>
      </c>
    </row>
    <row r="80" spans="1:7" ht="30" customHeight="1">
      <c r="A80" s="174"/>
      <c r="B80" s="177"/>
      <c r="C80" s="183"/>
      <c r="D80" s="29" t="s">
        <v>309</v>
      </c>
      <c r="E80" s="40">
        <v>0</v>
      </c>
      <c r="F80" s="40">
        <v>0</v>
      </c>
      <c r="G80" s="39">
        <v>0</v>
      </c>
    </row>
    <row r="81" spans="1:7" ht="30" customHeight="1">
      <c r="A81" s="174"/>
      <c r="B81" s="177"/>
      <c r="C81" s="183"/>
      <c r="D81" s="29" t="s">
        <v>310</v>
      </c>
      <c r="E81" s="40">
        <v>0</v>
      </c>
      <c r="F81" s="40">
        <v>0</v>
      </c>
      <c r="G81" s="39">
        <v>0</v>
      </c>
    </row>
    <row r="82" spans="1:7" ht="45" customHeight="1">
      <c r="A82" s="174"/>
      <c r="B82" s="177"/>
      <c r="C82" s="183"/>
      <c r="D82" s="29" t="s">
        <v>318</v>
      </c>
      <c r="E82" s="40">
        <v>0</v>
      </c>
      <c r="F82" s="40">
        <v>0</v>
      </c>
      <c r="G82" s="39">
        <v>0</v>
      </c>
    </row>
    <row r="83" spans="1:7" ht="60.75" customHeight="1">
      <c r="A83" s="174"/>
      <c r="B83" s="177"/>
      <c r="C83" s="183"/>
      <c r="D83" s="29" t="s">
        <v>312</v>
      </c>
      <c r="E83" s="40">
        <v>0</v>
      </c>
      <c r="F83" s="40">
        <v>0</v>
      </c>
      <c r="G83" s="39">
        <v>0</v>
      </c>
    </row>
    <row r="84" spans="1:7" ht="75" customHeight="1">
      <c r="A84" s="174"/>
      <c r="B84" s="177"/>
      <c r="C84" s="183"/>
      <c r="D84" s="29" t="s">
        <v>313</v>
      </c>
      <c r="E84" s="40">
        <v>0</v>
      </c>
      <c r="F84" s="40">
        <v>0</v>
      </c>
      <c r="G84" s="39">
        <v>0</v>
      </c>
    </row>
    <row r="85" spans="1:7" ht="45" customHeight="1">
      <c r="A85" s="174"/>
      <c r="B85" s="177"/>
      <c r="C85" s="183"/>
      <c r="D85" s="29" t="s">
        <v>315</v>
      </c>
      <c r="E85" s="40">
        <v>0</v>
      </c>
      <c r="F85" s="40">
        <v>0</v>
      </c>
      <c r="G85" s="39">
        <v>0</v>
      </c>
    </row>
    <row r="86" spans="1:7" ht="24.75" customHeight="1">
      <c r="A86" s="175"/>
      <c r="B86" s="178"/>
      <c r="C86" s="184"/>
      <c r="D86" s="29" t="s">
        <v>316</v>
      </c>
      <c r="E86" s="40">
        <v>54079.3</v>
      </c>
      <c r="F86" s="40">
        <v>25747.08</v>
      </c>
      <c r="G86" s="39">
        <f>F86/E86*100</f>
        <v>47.60986181403975</v>
      </c>
    </row>
    <row r="87" spans="1:7" ht="24.75" customHeight="1">
      <c r="A87" s="173" t="s">
        <v>18</v>
      </c>
      <c r="B87" s="176">
        <v>8</v>
      </c>
      <c r="C87" s="182" t="s">
        <v>247</v>
      </c>
      <c r="D87" s="29" t="s">
        <v>317</v>
      </c>
      <c r="E87" s="40">
        <f>E88+E93+E95</f>
        <v>6776342.4</v>
      </c>
      <c r="F87" s="40">
        <f>F88+F93+F95</f>
        <v>3388171.2</v>
      </c>
      <c r="G87" s="39">
        <f>F87/E87*100</f>
        <v>50</v>
      </c>
    </row>
    <row r="88" spans="1:7" ht="30" customHeight="1">
      <c r="A88" s="174"/>
      <c r="B88" s="177"/>
      <c r="C88" s="183"/>
      <c r="D88" s="29" t="s">
        <v>308</v>
      </c>
      <c r="E88" s="40">
        <v>6776342.4</v>
      </c>
      <c r="F88" s="40">
        <f>'Форма 1'!M184</f>
        <v>3388171.2</v>
      </c>
      <c r="G88" s="39">
        <f>F88/E88*100</f>
        <v>50</v>
      </c>
    </row>
    <row r="89" spans="1:7" ht="30" customHeight="1">
      <c r="A89" s="174"/>
      <c r="B89" s="177"/>
      <c r="C89" s="183"/>
      <c r="D89" s="29" t="s">
        <v>309</v>
      </c>
      <c r="E89" s="40">
        <v>0</v>
      </c>
      <c r="F89" s="40">
        <v>0</v>
      </c>
      <c r="G89" s="39">
        <v>0</v>
      </c>
    </row>
    <row r="90" spans="1:7" ht="30" customHeight="1">
      <c r="A90" s="174"/>
      <c r="B90" s="177"/>
      <c r="C90" s="183"/>
      <c r="D90" s="29" t="s">
        <v>310</v>
      </c>
      <c r="E90" s="40">
        <v>0</v>
      </c>
      <c r="F90" s="40">
        <v>0</v>
      </c>
      <c r="G90" s="39">
        <v>0</v>
      </c>
    </row>
    <row r="91" spans="1:7" ht="45" customHeight="1">
      <c r="A91" s="174"/>
      <c r="B91" s="177"/>
      <c r="C91" s="183"/>
      <c r="D91" s="29" t="s">
        <v>318</v>
      </c>
      <c r="E91" s="40">
        <v>0</v>
      </c>
      <c r="F91" s="40">
        <v>0</v>
      </c>
      <c r="G91" s="39">
        <v>0</v>
      </c>
    </row>
    <row r="92" spans="1:7" ht="60.75" customHeight="1">
      <c r="A92" s="174"/>
      <c r="B92" s="177"/>
      <c r="C92" s="183"/>
      <c r="D92" s="29" t="s">
        <v>312</v>
      </c>
      <c r="E92" s="40">
        <v>0</v>
      </c>
      <c r="F92" s="40">
        <v>0</v>
      </c>
      <c r="G92" s="39">
        <v>0</v>
      </c>
    </row>
    <row r="93" spans="1:7" ht="75" customHeight="1">
      <c r="A93" s="174"/>
      <c r="B93" s="177"/>
      <c r="C93" s="183"/>
      <c r="D93" s="29" t="s">
        <v>313</v>
      </c>
      <c r="E93" s="40"/>
      <c r="F93" s="40"/>
      <c r="G93" s="39" t="e">
        <f>F93/E93*100</f>
        <v>#DIV/0!</v>
      </c>
    </row>
    <row r="94" spans="1:7" ht="45" customHeight="1">
      <c r="A94" s="174"/>
      <c r="B94" s="177"/>
      <c r="C94" s="183"/>
      <c r="D94" s="29" t="s">
        <v>315</v>
      </c>
      <c r="E94" s="40">
        <v>0</v>
      </c>
      <c r="F94" s="40">
        <v>0</v>
      </c>
      <c r="G94" s="39">
        <v>0</v>
      </c>
    </row>
    <row r="95" spans="1:7" ht="24.75" customHeight="1">
      <c r="A95" s="175"/>
      <c r="B95" s="178"/>
      <c r="C95" s="184"/>
      <c r="D95" s="29" t="s">
        <v>316</v>
      </c>
      <c r="E95" s="40">
        <v>0</v>
      </c>
      <c r="F95" s="40">
        <v>0</v>
      </c>
      <c r="G95" s="39">
        <v>0</v>
      </c>
    </row>
    <row r="96" spans="1:7" ht="24.75" customHeight="1">
      <c r="A96" s="173" t="s">
        <v>18</v>
      </c>
      <c r="B96" s="176">
        <v>9</v>
      </c>
      <c r="C96" s="182" t="s">
        <v>253</v>
      </c>
      <c r="D96" s="29" t="s">
        <v>317</v>
      </c>
      <c r="E96" s="42">
        <f>E97+E102+E104</f>
        <v>1382.7</v>
      </c>
      <c r="F96" s="42">
        <f>F97+F102+F104</f>
        <v>605.67</v>
      </c>
      <c r="G96" s="39">
        <f>F96/E96*100</f>
        <v>43.80342807550444</v>
      </c>
    </row>
    <row r="97" spans="1:7" ht="30" customHeight="1">
      <c r="A97" s="174"/>
      <c r="B97" s="177"/>
      <c r="C97" s="183"/>
      <c r="D97" s="29" t="s">
        <v>308</v>
      </c>
      <c r="E97" s="43">
        <v>1382.7</v>
      </c>
      <c r="F97" s="43">
        <f>'Форма 1'!M188</f>
        <v>605.67</v>
      </c>
      <c r="G97" s="39">
        <f>F97/E97*100</f>
        <v>43.80342807550444</v>
      </c>
    </row>
    <row r="98" spans="1:7" ht="30" customHeight="1">
      <c r="A98" s="174"/>
      <c r="B98" s="177"/>
      <c r="C98" s="183"/>
      <c r="D98" s="29" t="s">
        <v>309</v>
      </c>
      <c r="E98" s="42">
        <v>0</v>
      </c>
      <c r="F98" s="42">
        <v>0</v>
      </c>
      <c r="G98" s="39">
        <v>0</v>
      </c>
    </row>
    <row r="99" spans="1:7" ht="30" customHeight="1">
      <c r="A99" s="174"/>
      <c r="B99" s="177"/>
      <c r="C99" s="183"/>
      <c r="D99" s="29" t="s">
        <v>310</v>
      </c>
      <c r="E99" s="42">
        <v>1382.7</v>
      </c>
      <c r="F99" s="42">
        <f>'Форма 1'!M190</f>
        <v>605.67</v>
      </c>
      <c r="G99" s="39">
        <f>F99/E99*100</f>
        <v>43.80342807550444</v>
      </c>
    </row>
    <row r="100" spans="1:7" ht="45" customHeight="1">
      <c r="A100" s="174"/>
      <c r="B100" s="177"/>
      <c r="C100" s="183"/>
      <c r="D100" s="29" t="s">
        <v>318</v>
      </c>
      <c r="E100" s="42">
        <v>0</v>
      </c>
      <c r="F100" s="42">
        <v>0</v>
      </c>
      <c r="G100" s="39">
        <v>0</v>
      </c>
    </row>
    <row r="101" spans="1:7" ht="60.75" customHeight="1">
      <c r="A101" s="174"/>
      <c r="B101" s="177"/>
      <c r="C101" s="183"/>
      <c r="D101" s="29" t="s">
        <v>312</v>
      </c>
      <c r="E101" s="40">
        <v>0</v>
      </c>
      <c r="F101" s="40">
        <v>0</v>
      </c>
      <c r="G101" s="39">
        <v>0</v>
      </c>
    </row>
    <row r="102" spans="1:7" ht="75" customHeight="1">
      <c r="A102" s="174"/>
      <c r="B102" s="177"/>
      <c r="C102" s="183"/>
      <c r="D102" s="29" t="s">
        <v>313</v>
      </c>
      <c r="E102" s="40">
        <v>0</v>
      </c>
      <c r="F102" s="40">
        <v>0</v>
      </c>
      <c r="G102" s="39">
        <v>0</v>
      </c>
    </row>
    <row r="103" spans="1:7" ht="45" customHeight="1">
      <c r="A103" s="174"/>
      <c r="B103" s="177"/>
      <c r="C103" s="183"/>
      <c r="D103" s="29" t="s">
        <v>315</v>
      </c>
      <c r="E103" s="40">
        <v>0</v>
      </c>
      <c r="F103" s="40">
        <v>0</v>
      </c>
      <c r="G103" s="39">
        <v>0</v>
      </c>
    </row>
    <row r="104" spans="1:7" ht="24.75" customHeight="1">
      <c r="A104" s="175"/>
      <c r="B104" s="178"/>
      <c r="C104" s="184"/>
      <c r="D104" s="29" t="s">
        <v>316</v>
      </c>
      <c r="E104" s="40">
        <v>0</v>
      </c>
      <c r="F104" s="40">
        <v>0</v>
      </c>
      <c r="G104" s="39">
        <v>0</v>
      </c>
    </row>
    <row r="105" spans="1:7" ht="24.75" customHeight="1">
      <c r="A105" s="173" t="s">
        <v>18</v>
      </c>
      <c r="B105" s="176" t="s">
        <v>431</v>
      </c>
      <c r="C105" s="179" t="s">
        <v>320</v>
      </c>
      <c r="D105" s="29" t="s">
        <v>317</v>
      </c>
      <c r="E105" s="40">
        <f>E106+E111+E113</f>
        <v>0</v>
      </c>
      <c r="F105" s="40">
        <f>F106+F111+F113</f>
        <v>0</v>
      </c>
      <c r="G105" s="39">
        <v>0</v>
      </c>
    </row>
    <row r="106" spans="1:7" ht="30" customHeight="1">
      <c r="A106" s="174"/>
      <c r="B106" s="177"/>
      <c r="C106" s="180"/>
      <c r="D106" s="29" t="s">
        <v>308</v>
      </c>
      <c r="E106" s="40">
        <v>0</v>
      </c>
      <c r="F106" s="40">
        <v>0</v>
      </c>
      <c r="G106" s="39">
        <v>0</v>
      </c>
    </row>
    <row r="107" spans="1:7" ht="30" customHeight="1">
      <c r="A107" s="174"/>
      <c r="B107" s="177"/>
      <c r="C107" s="180"/>
      <c r="D107" s="29" t="s">
        <v>309</v>
      </c>
      <c r="E107" s="40">
        <v>0</v>
      </c>
      <c r="F107" s="40">
        <v>0</v>
      </c>
      <c r="G107" s="39">
        <v>0</v>
      </c>
    </row>
    <row r="108" spans="1:7" ht="30" customHeight="1">
      <c r="A108" s="174"/>
      <c r="B108" s="177"/>
      <c r="C108" s="180"/>
      <c r="D108" s="29" t="s">
        <v>310</v>
      </c>
      <c r="E108" s="40">
        <v>0</v>
      </c>
      <c r="F108" s="40">
        <v>0</v>
      </c>
      <c r="G108" s="39">
        <v>0</v>
      </c>
    </row>
    <row r="109" spans="1:7" ht="45" customHeight="1">
      <c r="A109" s="174"/>
      <c r="B109" s="177"/>
      <c r="C109" s="180"/>
      <c r="D109" s="29" t="s">
        <v>318</v>
      </c>
      <c r="E109" s="40">
        <v>0</v>
      </c>
      <c r="F109" s="40">
        <v>0</v>
      </c>
      <c r="G109" s="39">
        <v>0</v>
      </c>
    </row>
    <row r="110" spans="1:7" ht="60.75" customHeight="1">
      <c r="A110" s="174"/>
      <c r="B110" s="177"/>
      <c r="C110" s="180"/>
      <c r="D110" s="29" t="s">
        <v>312</v>
      </c>
      <c r="E110" s="40">
        <v>0</v>
      </c>
      <c r="F110" s="40">
        <v>0</v>
      </c>
      <c r="G110" s="39">
        <v>0</v>
      </c>
    </row>
    <row r="111" spans="1:7" ht="75" customHeight="1">
      <c r="A111" s="174"/>
      <c r="B111" s="177"/>
      <c r="C111" s="180"/>
      <c r="D111" s="29" t="s">
        <v>313</v>
      </c>
      <c r="E111" s="40">
        <v>0</v>
      </c>
      <c r="F111" s="40">
        <v>0</v>
      </c>
      <c r="G111" s="39">
        <v>0</v>
      </c>
    </row>
    <row r="112" spans="1:7" ht="45" customHeight="1">
      <c r="A112" s="174"/>
      <c r="B112" s="177"/>
      <c r="C112" s="180"/>
      <c r="D112" s="29" t="s">
        <v>315</v>
      </c>
      <c r="E112" s="40">
        <v>0</v>
      </c>
      <c r="F112" s="40">
        <v>0</v>
      </c>
      <c r="G112" s="39">
        <v>0</v>
      </c>
    </row>
    <row r="113" spans="1:7" ht="24.75" customHeight="1">
      <c r="A113" s="175"/>
      <c r="B113" s="178"/>
      <c r="C113" s="181"/>
      <c r="D113" s="29" t="s">
        <v>316</v>
      </c>
      <c r="E113" s="40">
        <v>0</v>
      </c>
      <c r="F113" s="40">
        <v>0</v>
      </c>
      <c r="G113" s="39">
        <v>0</v>
      </c>
    </row>
    <row r="114" spans="1:7" ht="24.75" customHeight="1">
      <c r="A114" s="173" t="s">
        <v>18</v>
      </c>
      <c r="B114" s="176" t="s">
        <v>270</v>
      </c>
      <c r="C114" s="179" t="s">
        <v>271</v>
      </c>
      <c r="D114" s="29" t="s">
        <v>317</v>
      </c>
      <c r="E114" s="40">
        <f>E115+E120+E122</f>
        <v>162120</v>
      </c>
      <c r="F114" s="40">
        <f>F115+F120+F122</f>
        <v>92.099</v>
      </c>
      <c r="G114" s="39">
        <f>F114/E114*100</f>
        <v>0.05680915371329879</v>
      </c>
    </row>
    <row r="115" spans="1:7" ht="30" customHeight="1">
      <c r="A115" s="174"/>
      <c r="B115" s="177"/>
      <c r="C115" s="180"/>
      <c r="D115" s="29" t="s">
        <v>308</v>
      </c>
      <c r="E115" s="40">
        <f>'Форма 1'!L192</f>
        <v>162120</v>
      </c>
      <c r="F115" s="40">
        <f>'Форма 1'!M192</f>
        <v>92.099</v>
      </c>
      <c r="G115" s="39">
        <f>F115/E115*100</f>
        <v>0.05680915371329879</v>
      </c>
    </row>
    <row r="116" spans="1:7" ht="30" customHeight="1">
      <c r="A116" s="174"/>
      <c r="B116" s="177"/>
      <c r="C116" s="180"/>
      <c r="D116" s="29" t="s">
        <v>309</v>
      </c>
      <c r="E116" s="40">
        <v>0</v>
      </c>
      <c r="F116" s="40">
        <v>0</v>
      </c>
      <c r="G116" s="39">
        <v>0</v>
      </c>
    </row>
    <row r="117" spans="1:7" ht="30" customHeight="1">
      <c r="A117" s="174"/>
      <c r="B117" s="177"/>
      <c r="C117" s="180"/>
      <c r="D117" s="29" t="s">
        <v>310</v>
      </c>
      <c r="E117" s="40">
        <v>0</v>
      </c>
      <c r="F117" s="40">
        <v>0</v>
      </c>
      <c r="G117" s="39">
        <v>0</v>
      </c>
    </row>
    <row r="118" spans="1:7" ht="45" customHeight="1">
      <c r="A118" s="174"/>
      <c r="B118" s="177"/>
      <c r="C118" s="180"/>
      <c r="D118" s="29" t="s">
        <v>318</v>
      </c>
      <c r="E118" s="40">
        <v>154960</v>
      </c>
      <c r="F118" s="40">
        <v>0</v>
      </c>
      <c r="G118" s="39">
        <v>0</v>
      </c>
    </row>
    <row r="119" spans="1:7" ht="60.75" customHeight="1">
      <c r="A119" s="174"/>
      <c r="B119" s="177"/>
      <c r="C119" s="180"/>
      <c r="D119" s="29" t="s">
        <v>312</v>
      </c>
      <c r="E119" s="40">
        <v>0</v>
      </c>
      <c r="F119" s="40">
        <v>0</v>
      </c>
      <c r="G119" s="39">
        <v>0</v>
      </c>
    </row>
    <row r="120" spans="1:7" ht="75" customHeight="1">
      <c r="A120" s="174"/>
      <c r="B120" s="177"/>
      <c r="C120" s="180"/>
      <c r="D120" s="29" t="s">
        <v>313</v>
      </c>
      <c r="E120" s="40">
        <v>0</v>
      </c>
      <c r="F120" s="40">
        <v>0</v>
      </c>
      <c r="G120" s="39">
        <v>0</v>
      </c>
    </row>
    <row r="121" spans="1:7" ht="45" customHeight="1">
      <c r="A121" s="174"/>
      <c r="B121" s="177"/>
      <c r="C121" s="180"/>
      <c r="D121" s="29" t="s">
        <v>315</v>
      </c>
      <c r="E121" s="40">
        <v>0</v>
      </c>
      <c r="F121" s="40">
        <v>0</v>
      </c>
      <c r="G121" s="39">
        <v>0</v>
      </c>
    </row>
    <row r="122" spans="1:7" ht="24.75" customHeight="1">
      <c r="A122" s="175"/>
      <c r="B122" s="178"/>
      <c r="C122" s="181"/>
      <c r="D122" s="29" t="s">
        <v>316</v>
      </c>
      <c r="E122" s="40">
        <v>0</v>
      </c>
      <c r="F122" s="40">
        <v>0</v>
      </c>
      <c r="G122" s="39">
        <v>0</v>
      </c>
    </row>
  </sheetData>
  <sheetProtection/>
  <autoFilter ref="A13:G122"/>
  <mergeCells count="45">
    <mergeCell ref="A4:G4"/>
    <mergeCell ref="A5:G5"/>
    <mergeCell ref="A6:G6"/>
    <mergeCell ref="E9:G9"/>
    <mergeCell ref="A11:B11"/>
    <mergeCell ref="E11:F11"/>
    <mergeCell ref="G11:G12"/>
    <mergeCell ref="A14:A23"/>
    <mergeCell ref="B14:B23"/>
    <mergeCell ref="C14:C23"/>
    <mergeCell ref="A24:A32"/>
    <mergeCell ref="D11:D12"/>
    <mergeCell ref="C11:C12"/>
    <mergeCell ref="A42:A50"/>
    <mergeCell ref="B42:B50"/>
    <mergeCell ref="C42:C50"/>
    <mergeCell ref="A33:A41"/>
    <mergeCell ref="B24:B32"/>
    <mergeCell ref="B33:B41"/>
    <mergeCell ref="C33:C41"/>
    <mergeCell ref="C24:C32"/>
    <mergeCell ref="A60:A68"/>
    <mergeCell ref="B60:B68"/>
    <mergeCell ref="C60:C68"/>
    <mergeCell ref="A51:A59"/>
    <mergeCell ref="B51:B59"/>
    <mergeCell ref="C51:C59"/>
    <mergeCell ref="A78:A86"/>
    <mergeCell ref="B78:B86"/>
    <mergeCell ref="C78:C86"/>
    <mergeCell ref="A69:A77"/>
    <mergeCell ref="B69:B77"/>
    <mergeCell ref="C69:C77"/>
    <mergeCell ref="A96:A104"/>
    <mergeCell ref="B96:B104"/>
    <mergeCell ref="C96:C104"/>
    <mergeCell ref="A87:A95"/>
    <mergeCell ref="B87:B95"/>
    <mergeCell ref="C87:C95"/>
    <mergeCell ref="A114:A122"/>
    <mergeCell ref="B114:B122"/>
    <mergeCell ref="C114:C122"/>
    <mergeCell ref="A105:A113"/>
    <mergeCell ref="B105:B113"/>
    <mergeCell ref="C105:C11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1"/>
  <sheetViews>
    <sheetView tabSelected="1" zoomScale="80" zoomScaleNormal="80" zoomScalePageLayoutView="0" workbookViewId="0" topLeftCell="A4">
      <pane ySplit="6" topLeftCell="A76" activePane="bottomLeft" state="frozen"/>
      <selection pane="topLeft" activeCell="A4" sqref="A4"/>
      <selection pane="bottomLeft" activeCell="N78" sqref="N78"/>
    </sheetView>
  </sheetViews>
  <sheetFormatPr defaultColWidth="9.140625" defaultRowHeight="15"/>
  <cols>
    <col min="1" max="1" width="3.8515625" style="105" customWidth="1"/>
    <col min="2" max="2" width="4.421875" style="105" customWidth="1"/>
    <col min="3" max="3" width="4.8515625" style="105" customWidth="1"/>
    <col min="4" max="4" width="4.28125" style="105" customWidth="1"/>
    <col min="5" max="5" width="43.00390625" style="106" customWidth="1"/>
    <col min="6" max="6" width="20.28125" style="101" customWidth="1"/>
    <col min="7" max="7" width="16.28125" style="101" customWidth="1"/>
    <col min="8" max="8" width="12.57421875" style="107" customWidth="1"/>
    <col min="9" max="9" width="11.57421875" style="107" customWidth="1"/>
    <col min="10" max="10" width="12.140625" style="82" customWidth="1"/>
    <col min="11" max="11" width="12.28125" style="82" customWidth="1"/>
    <col min="12" max="12" width="11.421875" style="82" customWidth="1"/>
    <col min="13" max="13" width="13.00390625" style="82" customWidth="1"/>
    <col min="14" max="14" width="14.57421875" style="82" bestFit="1" customWidth="1"/>
    <col min="15" max="15" width="9.140625" style="88" customWidth="1"/>
    <col min="16" max="16" width="11.8515625" style="88" customWidth="1"/>
    <col min="17" max="16384" width="9.140625" style="88" customWidth="1"/>
  </cols>
  <sheetData>
    <row r="1" spans="1:14" ht="15.75">
      <c r="A1" s="83"/>
      <c r="B1" s="83"/>
      <c r="C1" s="83"/>
      <c r="D1" s="83"/>
      <c r="E1" s="84"/>
      <c r="F1" s="85"/>
      <c r="G1" s="85"/>
      <c r="H1" s="86"/>
      <c r="I1" s="86"/>
      <c r="J1" s="76"/>
      <c r="K1" s="76"/>
      <c r="L1" s="76"/>
      <c r="N1" s="87" t="s">
        <v>436</v>
      </c>
    </row>
    <row r="2" spans="1:14" s="90" customFormat="1" ht="15.75">
      <c r="A2" s="209" t="s">
        <v>429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</row>
    <row r="3" spans="1:14" s="90" customFormat="1" ht="15.75">
      <c r="A3" s="209" t="s">
        <v>430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</row>
    <row r="4" spans="1:14" s="90" customFormat="1" ht="15.75">
      <c r="A4" s="210" t="s">
        <v>440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</row>
    <row r="5" spans="1:14" s="90" customFormat="1" ht="15.75">
      <c r="A5" s="89"/>
      <c r="B5" s="89"/>
      <c r="C5" s="89"/>
      <c r="D5" s="89"/>
      <c r="E5" s="91"/>
      <c r="F5" s="91"/>
      <c r="G5" s="91"/>
      <c r="H5" s="92"/>
      <c r="I5" s="92"/>
      <c r="J5" s="77"/>
      <c r="K5" s="78"/>
      <c r="L5" s="78"/>
      <c r="M5" s="78"/>
      <c r="N5" s="78"/>
    </row>
    <row r="6" spans="1:14" s="90" customFormat="1" ht="15.75">
      <c r="A6" s="93" t="s">
        <v>300</v>
      </c>
      <c r="B6" s="93"/>
      <c r="C6" s="93"/>
      <c r="D6" s="93"/>
      <c r="E6" s="94"/>
      <c r="F6" s="95"/>
      <c r="G6" s="94" t="s">
        <v>9</v>
      </c>
      <c r="H6" s="96"/>
      <c r="I6" s="96"/>
      <c r="J6" s="78"/>
      <c r="K6" s="78"/>
      <c r="L6" s="78"/>
      <c r="M6" s="78"/>
      <c r="N6" s="78"/>
    </row>
    <row r="7" spans="1:14" s="90" customFormat="1" ht="15.75">
      <c r="A7" s="93" t="s">
        <v>301</v>
      </c>
      <c r="B7" s="93"/>
      <c r="C7" s="93"/>
      <c r="D7" s="93"/>
      <c r="E7" s="94"/>
      <c r="F7" s="95"/>
      <c r="G7" s="97" t="s">
        <v>10</v>
      </c>
      <c r="H7" s="96"/>
      <c r="I7" s="96"/>
      <c r="J7" s="78"/>
      <c r="K7" s="78"/>
      <c r="L7" s="78"/>
      <c r="M7" s="78"/>
      <c r="N7" s="78"/>
    </row>
    <row r="8" spans="1:14" ht="59.25" customHeight="1">
      <c r="A8" s="202" t="s">
        <v>11</v>
      </c>
      <c r="B8" s="202"/>
      <c r="C8" s="202"/>
      <c r="D8" s="202"/>
      <c r="E8" s="98" t="s">
        <v>321</v>
      </c>
      <c r="F8" s="211" t="s">
        <v>322</v>
      </c>
      <c r="G8" s="211" t="s">
        <v>323</v>
      </c>
      <c r="H8" s="207" t="s">
        <v>324</v>
      </c>
      <c r="I8" s="207"/>
      <c r="J8" s="208" t="s">
        <v>325</v>
      </c>
      <c r="K8" s="208"/>
      <c r="L8" s="208"/>
      <c r="M8" s="208" t="s">
        <v>326</v>
      </c>
      <c r="N8" s="208"/>
    </row>
    <row r="9" spans="1:14" ht="90">
      <c r="A9" s="100" t="s">
        <v>12</v>
      </c>
      <c r="B9" s="100" t="s">
        <v>13</v>
      </c>
      <c r="C9" s="100" t="s">
        <v>14</v>
      </c>
      <c r="D9" s="100" t="s">
        <v>15</v>
      </c>
      <c r="E9" s="98"/>
      <c r="F9" s="212"/>
      <c r="G9" s="212"/>
      <c r="H9" s="99" t="s">
        <v>327</v>
      </c>
      <c r="I9" s="99" t="s">
        <v>328</v>
      </c>
      <c r="J9" s="79" t="s">
        <v>329</v>
      </c>
      <c r="K9" s="79" t="s">
        <v>441</v>
      </c>
      <c r="L9" s="79" t="s">
        <v>330</v>
      </c>
      <c r="M9" s="79" t="s">
        <v>16</v>
      </c>
      <c r="N9" s="79" t="s">
        <v>331</v>
      </c>
    </row>
    <row r="10" spans="1:14" s="101" customFormat="1" ht="15">
      <c r="A10" s="100">
        <v>1</v>
      </c>
      <c r="B10" s="100">
        <v>2</v>
      </c>
      <c r="C10" s="100">
        <v>3</v>
      </c>
      <c r="D10" s="100">
        <v>4</v>
      </c>
      <c r="E10" s="98">
        <v>5</v>
      </c>
      <c r="F10" s="98">
        <v>6</v>
      </c>
      <c r="G10" s="98">
        <v>7</v>
      </c>
      <c r="H10" s="80">
        <v>8</v>
      </c>
      <c r="I10" s="80">
        <v>9</v>
      </c>
      <c r="J10" s="80">
        <v>10</v>
      </c>
      <c r="K10" s="80">
        <v>11</v>
      </c>
      <c r="L10" s="80">
        <v>12</v>
      </c>
      <c r="M10" s="80">
        <v>13</v>
      </c>
      <c r="N10" s="80">
        <v>14</v>
      </c>
    </row>
    <row r="11" spans="1:14" ht="15">
      <c r="A11" s="100" t="s">
        <v>18</v>
      </c>
      <c r="B11" s="100">
        <v>1</v>
      </c>
      <c r="C11" s="100"/>
      <c r="D11" s="100"/>
      <c r="E11" s="201" t="s">
        <v>332</v>
      </c>
      <c r="F11" s="201"/>
      <c r="G11" s="201"/>
      <c r="H11" s="201"/>
      <c r="I11" s="201"/>
      <c r="J11" s="201"/>
      <c r="K11" s="201"/>
      <c r="L11" s="201"/>
      <c r="M11" s="201"/>
      <c r="N11" s="201"/>
    </row>
    <row r="12" spans="1:14" ht="30">
      <c r="A12" s="100" t="s">
        <v>18</v>
      </c>
      <c r="B12" s="100">
        <v>1</v>
      </c>
      <c r="C12" s="100">
        <v>17</v>
      </c>
      <c r="D12" s="100"/>
      <c r="E12" s="102" t="s">
        <v>19</v>
      </c>
      <c r="F12" s="200"/>
      <c r="G12" s="200"/>
      <c r="H12" s="200"/>
      <c r="I12" s="200"/>
      <c r="J12" s="200"/>
      <c r="K12" s="200"/>
      <c r="L12" s="200"/>
      <c r="M12" s="200"/>
      <c r="N12" s="200"/>
    </row>
    <row r="13" spans="1:14" ht="30">
      <c r="A13" s="100" t="s">
        <v>18</v>
      </c>
      <c r="B13" s="100">
        <v>1</v>
      </c>
      <c r="C13" s="100">
        <v>17</v>
      </c>
      <c r="D13" s="100" t="s">
        <v>18</v>
      </c>
      <c r="E13" s="102" t="s">
        <v>333</v>
      </c>
      <c r="F13" s="98" t="s">
        <v>334</v>
      </c>
      <c r="G13" s="98" t="s">
        <v>335</v>
      </c>
      <c r="H13" s="109">
        <v>1750</v>
      </c>
      <c r="I13" s="109">
        <v>656</v>
      </c>
      <c r="J13" s="81">
        <v>3618.9</v>
      </c>
      <c r="K13" s="81">
        <v>5331.1</v>
      </c>
      <c r="L13" s="81">
        <f>'Форма 1'!M37</f>
        <v>2415.75</v>
      </c>
      <c r="M13" s="81">
        <f>L13/J13*100</f>
        <v>66.75370969079002</v>
      </c>
      <c r="N13" s="81">
        <f>L13/K13*100</f>
        <v>45.31428785804055</v>
      </c>
    </row>
    <row r="14" spans="1:14" ht="45">
      <c r="A14" s="100" t="s">
        <v>18</v>
      </c>
      <c r="B14" s="100">
        <v>1</v>
      </c>
      <c r="C14" s="100">
        <v>18</v>
      </c>
      <c r="D14" s="100"/>
      <c r="E14" s="102" t="s">
        <v>20</v>
      </c>
      <c r="F14" s="200"/>
      <c r="G14" s="200"/>
      <c r="H14" s="200"/>
      <c r="I14" s="200"/>
      <c r="J14" s="200"/>
      <c r="K14" s="200"/>
      <c r="L14" s="200"/>
      <c r="M14" s="200"/>
      <c r="N14" s="200"/>
    </row>
    <row r="15" spans="1:14" ht="90">
      <c r="A15" s="100" t="s">
        <v>18</v>
      </c>
      <c r="B15" s="100">
        <v>1</v>
      </c>
      <c r="C15" s="100">
        <v>18</v>
      </c>
      <c r="D15" s="100" t="s">
        <v>34</v>
      </c>
      <c r="E15" s="102" t="s">
        <v>336</v>
      </c>
      <c r="F15" s="98" t="s">
        <v>337</v>
      </c>
      <c r="G15" s="98" t="s">
        <v>338</v>
      </c>
      <c r="H15" s="109">
        <v>124</v>
      </c>
      <c r="I15" s="109">
        <v>77</v>
      </c>
      <c r="J15" s="81">
        <f>ROUND(20848*0.493,1)</f>
        <v>10278.1</v>
      </c>
      <c r="K15" s="81">
        <f>ROUND(20055.2*0.493,1)</f>
        <v>9887.2</v>
      </c>
      <c r="L15" s="81">
        <f>K15/(K15+K16)*'Форма 1'!M39</f>
        <v>6039.981191910328</v>
      </c>
      <c r="M15" s="81">
        <f>L15/J15*100</f>
        <v>58.765542190777744</v>
      </c>
      <c r="N15" s="81">
        <f>L15/K15*100</f>
        <v>61.08889465076389</v>
      </c>
    </row>
    <row r="16" spans="1:14" ht="45">
      <c r="A16" s="100" t="s">
        <v>18</v>
      </c>
      <c r="B16" s="100">
        <v>1</v>
      </c>
      <c r="C16" s="100">
        <v>18</v>
      </c>
      <c r="D16" s="100" t="s">
        <v>34</v>
      </c>
      <c r="E16" s="102" t="s">
        <v>339</v>
      </c>
      <c r="F16" s="98" t="s">
        <v>340</v>
      </c>
      <c r="G16" s="98" t="s">
        <v>341</v>
      </c>
      <c r="H16" s="109">
        <v>153</v>
      </c>
      <c r="I16" s="109">
        <v>107</v>
      </c>
      <c r="J16" s="81">
        <f>ROUND(20848*0.507,1)</f>
        <v>10569.9</v>
      </c>
      <c r="K16" s="81">
        <f>ROUND(20055.2*0.507,1)</f>
        <v>10168</v>
      </c>
      <c r="L16" s="81">
        <f>'Форма 1'!M39-L15</f>
        <v>6211.518808089672</v>
      </c>
      <c r="M16" s="81">
        <f>L16/J16*100</f>
        <v>58.76610760829972</v>
      </c>
      <c r="N16" s="81">
        <f>L16/K16*100</f>
        <v>61.08889465076389</v>
      </c>
    </row>
    <row r="17" spans="1:14" ht="15">
      <c r="A17" s="100" t="s">
        <v>18</v>
      </c>
      <c r="B17" s="100">
        <v>1</v>
      </c>
      <c r="C17" s="100">
        <v>19</v>
      </c>
      <c r="D17" s="100"/>
      <c r="E17" s="102" t="s">
        <v>21</v>
      </c>
      <c r="F17" s="200"/>
      <c r="G17" s="200"/>
      <c r="H17" s="200"/>
      <c r="I17" s="200"/>
      <c r="J17" s="200"/>
      <c r="K17" s="200"/>
      <c r="L17" s="200"/>
      <c r="M17" s="200"/>
      <c r="N17" s="200"/>
    </row>
    <row r="18" spans="1:14" ht="75">
      <c r="A18" s="100" t="s">
        <v>18</v>
      </c>
      <c r="B18" s="100">
        <v>1</v>
      </c>
      <c r="C18" s="100">
        <v>19</v>
      </c>
      <c r="D18" s="100" t="s">
        <v>18</v>
      </c>
      <c r="E18" s="102" t="s">
        <v>342</v>
      </c>
      <c r="F18" s="98" t="s">
        <v>343</v>
      </c>
      <c r="G18" s="98" t="s">
        <v>344</v>
      </c>
      <c r="H18" s="103">
        <v>393</v>
      </c>
      <c r="I18" s="103">
        <v>196</v>
      </c>
      <c r="J18" s="81">
        <f>4536+180</f>
        <v>4716</v>
      </c>
      <c r="K18" s="81">
        <f>4536+180</f>
        <v>4716</v>
      </c>
      <c r="L18" s="81">
        <f>'Форма 1'!M44</f>
        <v>2679.36</v>
      </c>
      <c r="M18" s="81">
        <f>L18/J18*100</f>
        <v>56.81424936386769</v>
      </c>
      <c r="N18" s="81">
        <f>L18/K18*100</f>
        <v>56.81424936386769</v>
      </c>
    </row>
    <row r="19" spans="1:14" ht="15">
      <c r="A19" s="100" t="s">
        <v>18</v>
      </c>
      <c r="B19" s="100">
        <v>2</v>
      </c>
      <c r="C19" s="100"/>
      <c r="D19" s="100"/>
      <c r="E19" s="201" t="s">
        <v>345</v>
      </c>
      <c r="F19" s="201"/>
      <c r="G19" s="201"/>
      <c r="H19" s="201"/>
      <c r="I19" s="201"/>
      <c r="J19" s="201"/>
      <c r="K19" s="201"/>
      <c r="L19" s="201"/>
      <c r="M19" s="201"/>
      <c r="N19" s="201"/>
    </row>
    <row r="20" spans="1:14" ht="30">
      <c r="A20" s="100" t="s">
        <v>18</v>
      </c>
      <c r="B20" s="100">
        <v>2</v>
      </c>
      <c r="C20" s="100" t="s">
        <v>22</v>
      </c>
      <c r="D20" s="100"/>
      <c r="E20" s="102" t="s">
        <v>346</v>
      </c>
      <c r="F20" s="98"/>
      <c r="G20" s="98"/>
      <c r="H20" s="104"/>
      <c r="I20" s="104"/>
      <c r="J20" s="81"/>
      <c r="K20" s="81"/>
      <c r="L20" s="81"/>
      <c r="M20" s="81"/>
      <c r="N20" s="81"/>
    </row>
    <row r="21" spans="1:14" ht="75">
      <c r="A21" s="100" t="s">
        <v>18</v>
      </c>
      <c r="B21" s="100">
        <v>2</v>
      </c>
      <c r="C21" s="100" t="s">
        <v>22</v>
      </c>
      <c r="D21" s="100" t="s">
        <v>34</v>
      </c>
      <c r="E21" s="102" t="s">
        <v>347</v>
      </c>
      <c r="F21" s="98" t="s">
        <v>348</v>
      </c>
      <c r="G21" s="98" t="s">
        <v>344</v>
      </c>
      <c r="H21" s="103">
        <v>69</v>
      </c>
      <c r="I21" s="103">
        <v>41</v>
      </c>
      <c r="J21" s="81">
        <v>17060.8</v>
      </c>
      <c r="K21" s="81">
        <v>17060.8</v>
      </c>
      <c r="L21" s="81">
        <v>13823.7</v>
      </c>
      <c r="M21" s="81">
        <f>L21/J21*100</f>
        <v>81.0260949076245</v>
      </c>
      <c r="N21" s="81">
        <f>L21/K21*100</f>
        <v>81.0260949076245</v>
      </c>
    </row>
    <row r="22" spans="1:14" s="121" customFormat="1" ht="75">
      <c r="A22" s="117" t="s">
        <v>18</v>
      </c>
      <c r="B22" s="117">
        <v>2</v>
      </c>
      <c r="C22" s="117" t="s">
        <v>22</v>
      </c>
      <c r="D22" s="117" t="s">
        <v>34</v>
      </c>
      <c r="E22" s="118" t="s">
        <v>349</v>
      </c>
      <c r="F22" s="119" t="s">
        <v>348</v>
      </c>
      <c r="G22" s="119" t="s">
        <v>344</v>
      </c>
      <c r="H22" s="109">
        <v>256</v>
      </c>
      <c r="I22" s="109">
        <v>190</v>
      </c>
      <c r="J22" s="120">
        <v>42176.1</v>
      </c>
      <c r="K22" s="120">
        <v>42176.1</v>
      </c>
      <c r="L22" s="120">
        <v>34173.7</v>
      </c>
      <c r="M22" s="120">
        <f>L22/J22*100</f>
        <v>81.0262210114259</v>
      </c>
      <c r="N22" s="120">
        <f>L22/K22*100</f>
        <v>81.0262210114259</v>
      </c>
    </row>
    <row r="23" spans="1:14" ht="75">
      <c r="A23" s="100" t="s">
        <v>18</v>
      </c>
      <c r="B23" s="100">
        <v>2</v>
      </c>
      <c r="C23" s="100" t="s">
        <v>22</v>
      </c>
      <c r="D23" s="100" t="s">
        <v>34</v>
      </c>
      <c r="E23" s="102" t="s">
        <v>350</v>
      </c>
      <c r="F23" s="98" t="s">
        <v>348</v>
      </c>
      <c r="G23" s="98" t="s">
        <v>344</v>
      </c>
      <c r="H23" s="103">
        <v>12</v>
      </c>
      <c r="I23" s="103">
        <v>8</v>
      </c>
      <c r="J23" s="81">
        <v>2996.3</v>
      </c>
      <c r="K23" s="81">
        <v>2996.3</v>
      </c>
      <c r="L23" s="81">
        <v>2427.8</v>
      </c>
      <c r="M23" s="81">
        <f>L23/J23*100</f>
        <v>81.02659947268297</v>
      </c>
      <c r="N23" s="81">
        <f>L23/K23*100</f>
        <v>81.02659947268297</v>
      </c>
    </row>
    <row r="24" spans="1:14" ht="75">
      <c r="A24" s="100" t="s">
        <v>18</v>
      </c>
      <c r="B24" s="100">
        <v>2</v>
      </c>
      <c r="C24" s="100" t="s">
        <v>22</v>
      </c>
      <c r="D24" s="100" t="s">
        <v>34</v>
      </c>
      <c r="E24" s="102" t="s">
        <v>351</v>
      </c>
      <c r="F24" s="98" t="s">
        <v>348</v>
      </c>
      <c r="G24" s="98" t="s">
        <v>344</v>
      </c>
      <c r="H24" s="103">
        <v>274</v>
      </c>
      <c r="I24" s="103">
        <v>89</v>
      </c>
      <c r="J24" s="81">
        <v>71778.7</v>
      </c>
      <c r="K24" s="81">
        <v>71778.7</v>
      </c>
      <c r="L24" s="81">
        <v>58159.6</v>
      </c>
      <c r="M24" s="81">
        <f>L24/J24*100</f>
        <v>81.02626545200735</v>
      </c>
      <c r="N24" s="81">
        <f>L24/K24*100</f>
        <v>81.02626545200735</v>
      </c>
    </row>
    <row r="25" spans="1:14" ht="75">
      <c r="A25" s="100" t="s">
        <v>18</v>
      </c>
      <c r="B25" s="100">
        <v>2</v>
      </c>
      <c r="C25" s="100" t="s">
        <v>22</v>
      </c>
      <c r="D25" s="100" t="s">
        <v>34</v>
      </c>
      <c r="E25" s="102" t="s">
        <v>352</v>
      </c>
      <c r="F25" s="98" t="s">
        <v>348</v>
      </c>
      <c r="G25" s="98" t="s">
        <v>344</v>
      </c>
      <c r="H25" s="103">
        <v>8</v>
      </c>
      <c r="I25" s="103">
        <v>2</v>
      </c>
      <c r="J25" s="81">
        <v>1252.7</v>
      </c>
      <c r="K25" s="81">
        <v>1252.7</v>
      </c>
      <c r="L25" s="81">
        <v>1015</v>
      </c>
      <c r="M25" s="81">
        <f>L25/J25*100</f>
        <v>81.02498603017482</v>
      </c>
      <c r="N25" s="81">
        <f>L25/K25*100</f>
        <v>81.02498603017482</v>
      </c>
    </row>
    <row r="26" spans="1:14" ht="30">
      <c r="A26" s="100" t="s">
        <v>18</v>
      </c>
      <c r="B26" s="100">
        <v>2</v>
      </c>
      <c r="C26" s="100" t="s">
        <v>23</v>
      </c>
      <c r="D26" s="100"/>
      <c r="E26" s="102" t="s">
        <v>353</v>
      </c>
      <c r="F26" s="200"/>
      <c r="G26" s="200"/>
      <c r="H26" s="200"/>
      <c r="I26" s="200"/>
      <c r="J26" s="200"/>
      <c r="K26" s="200"/>
      <c r="L26" s="200"/>
      <c r="M26" s="200"/>
      <c r="N26" s="200"/>
    </row>
    <row r="27" spans="1:14" ht="105">
      <c r="A27" s="100" t="s">
        <v>18</v>
      </c>
      <c r="B27" s="100">
        <v>2</v>
      </c>
      <c r="C27" s="100" t="s">
        <v>23</v>
      </c>
      <c r="D27" s="100" t="s">
        <v>34</v>
      </c>
      <c r="E27" s="102" t="s">
        <v>354</v>
      </c>
      <c r="F27" s="98" t="s">
        <v>355</v>
      </c>
      <c r="G27" s="98" t="s">
        <v>356</v>
      </c>
      <c r="H27" s="104">
        <v>10309.2</v>
      </c>
      <c r="I27" s="104">
        <v>5689.2</v>
      </c>
      <c r="J27" s="81">
        <v>16032.7</v>
      </c>
      <c r="K27" s="81">
        <f>15992.6+0.1</f>
        <v>15992.7</v>
      </c>
      <c r="L27" s="81">
        <f>K27/(K27+K28+K29+K30)*'Форма 1'!M68</f>
        <v>8701.53929357199</v>
      </c>
      <c r="M27" s="81">
        <f>L27/J27*100</f>
        <v>54.27369871308008</v>
      </c>
      <c r="N27" s="81">
        <f>L27/K27*100</f>
        <v>54.40944489405785</v>
      </c>
    </row>
    <row r="28" spans="1:14" ht="105">
      <c r="A28" s="100" t="s">
        <v>18</v>
      </c>
      <c r="B28" s="100">
        <v>2</v>
      </c>
      <c r="C28" s="100" t="s">
        <v>23</v>
      </c>
      <c r="D28" s="100" t="s">
        <v>34</v>
      </c>
      <c r="E28" s="102" t="s">
        <v>432</v>
      </c>
      <c r="F28" s="98" t="s">
        <v>348</v>
      </c>
      <c r="G28" s="98" t="s">
        <v>344</v>
      </c>
      <c r="H28" s="103">
        <v>120</v>
      </c>
      <c r="I28" s="103">
        <v>89</v>
      </c>
      <c r="J28" s="81">
        <v>150.7</v>
      </c>
      <c r="K28" s="81">
        <v>115.5</v>
      </c>
      <c r="L28" s="81">
        <f>K28/(K28+K29+K30+K27)*'Форма 1'!M68</f>
        <v>62.84290885263681</v>
      </c>
      <c r="M28" s="81">
        <f>L28/J28*100</f>
        <v>41.70066944435091</v>
      </c>
      <c r="N28" s="81">
        <f>L28/K28*100</f>
        <v>54.40944489405785</v>
      </c>
    </row>
    <row r="29" spans="1:14" ht="105">
      <c r="A29" s="100"/>
      <c r="B29" s="100"/>
      <c r="C29" s="100"/>
      <c r="D29" s="100"/>
      <c r="E29" s="102" t="s">
        <v>531</v>
      </c>
      <c r="F29" s="98" t="s">
        <v>357</v>
      </c>
      <c r="G29" s="98" t="s">
        <v>344</v>
      </c>
      <c r="H29" s="103">
        <v>34850</v>
      </c>
      <c r="I29" s="103">
        <v>18285</v>
      </c>
      <c r="J29" s="81">
        <v>59738.8</v>
      </c>
      <c r="K29" s="81">
        <v>51020</v>
      </c>
      <c r="L29" s="81">
        <f>K29/(K29+K30+K27+K28)*'Форма 1'!M68</f>
        <v>27759.698784948312</v>
      </c>
      <c r="M29" s="81">
        <f>L29/J29*100</f>
        <v>46.468457325805524</v>
      </c>
      <c r="N29" s="81">
        <f>L29/K29*100</f>
        <v>54.40944489405785</v>
      </c>
    </row>
    <row r="30" spans="1:14" ht="135">
      <c r="A30" s="100"/>
      <c r="B30" s="100"/>
      <c r="C30" s="100"/>
      <c r="D30" s="100"/>
      <c r="E30" s="102" t="s">
        <v>358</v>
      </c>
      <c r="F30" s="98" t="s">
        <v>359</v>
      </c>
      <c r="G30" s="98" t="s">
        <v>360</v>
      </c>
      <c r="H30" s="103">
        <v>12</v>
      </c>
      <c r="I30" s="103">
        <v>6</v>
      </c>
      <c r="J30" s="81">
        <v>7375.1</v>
      </c>
      <c r="K30" s="81">
        <v>5897.5</v>
      </c>
      <c r="L30" s="81">
        <f>K30/(K30+K27+K28+K29)*'Форма 1'!M68</f>
        <v>3208.7970126270616</v>
      </c>
      <c r="M30" s="81">
        <f>L30/J30*100</f>
        <v>43.508522089558944</v>
      </c>
      <c r="N30" s="81">
        <f>L30/K30*100</f>
        <v>54.40944489405785</v>
      </c>
    </row>
    <row r="31" spans="1:14" ht="30">
      <c r="A31" s="100" t="s">
        <v>18</v>
      </c>
      <c r="B31" s="100">
        <v>2</v>
      </c>
      <c r="C31" s="100" t="s">
        <v>25</v>
      </c>
      <c r="D31" s="100"/>
      <c r="E31" s="102" t="s">
        <v>24</v>
      </c>
      <c r="F31" s="200"/>
      <c r="G31" s="200"/>
      <c r="H31" s="200"/>
      <c r="I31" s="200"/>
      <c r="J31" s="200"/>
      <c r="K31" s="200"/>
      <c r="L31" s="200"/>
      <c r="M31" s="200"/>
      <c r="N31" s="200"/>
    </row>
    <row r="32" spans="1:14" ht="30">
      <c r="A32" s="100" t="s">
        <v>18</v>
      </c>
      <c r="B32" s="100">
        <v>2</v>
      </c>
      <c r="C32" s="100" t="s">
        <v>25</v>
      </c>
      <c r="D32" s="100" t="s">
        <v>34</v>
      </c>
      <c r="E32" s="102" t="s">
        <v>361</v>
      </c>
      <c r="F32" s="98" t="s">
        <v>362</v>
      </c>
      <c r="G32" s="98" t="s">
        <v>363</v>
      </c>
      <c r="H32" s="103">
        <v>73765</v>
      </c>
      <c r="I32" s="103">
        <v>38539</v>
      </c>
      <c r="J32" s="81">
        <v>78646.9</v>
      </c>
      <c r="K32" s="81">
        <v>79798.7</v>
      </c>
      <c r="L32" s="81">
        <f>K32/(K32+K33)*'Форма 1'!M71</f>
        <v>40179.12648832316</v>
      </c>
      <c r="M32" s="81">
        <f>L32/J32*100</f>
        <v>51.08799773204432</v>
      </c>
      <c r="N32" s="81">
        <f>L32/K32*100</f>
        <v>50.35060281473653</v>
      </c>
    </row>
    <row r="33" spans="1:14" ht="30">
      <c r="A33" s="100" t="s">
        <v>18</v>
      </c>
      <c r="B33" s="100">
        <v>2</v>
      </c>
      <c r="C33" s="100" t="s">
        <v>25</v>
      </c>
      <c r="D33" s="100" t="s">
        <v>34</v>
      </c>
      <c r="E33" s="102" t="s">
        <v>361</v>
      </c>
      <c r="F33" s="98" t="s">
        <v>364</v>
      </c>
      <c r="G33" s="98" t="s">
        <v>365</v>
      </c>
      <c r="H33" s="104">
        <v>7770</v>
      </c>
      <c r="I33" s="104">
        <v>4444</v>
      </c>
      <c r="J33" s="81">
        <v>18193.3</v>
      </c>
      <c r="K33" s="81">
        <v>13886.8</v>
      </c>
      <c r="L33" s="81">
        <f>K33/(K33+K32)*'Форма 1'!M71</f>
        <v>6992.087511676833</v>
      </c>
      <c r="M33" s="81">
        <f>L33/J33*100</f>
        <v>38.432211372740696</v>
      </c>
      <c r="N33" s="81">
        <f>L33/K33*100</f>
        <v>50.35060281473653</v>
      </c>
    </row>
    <row r="34" spans="1:14" ht="30">
      <c r="A34" s="100" t="s">
        <v>18</v>
      </c>
      <c r="B34" s="100">
        <v>2</v>
      </c>
      <c r="C34" s="100" t="s">
        <v>26</v>
      </c>
      <c r="D34" s="100"/>
      <c r="E34" s="102" t="s">
        <v>8</v>
      </c>
      <c r="F34" s="200"/>
      <c r="G34" s="200"/>
      <c r="H34" s="200"/>
      <c r="I34" s="200"/>
      <c r="J34" s="200"/>
      <c r="K34" s="200"/>
      <c r="L34" s="200"/>
      <c r="M34" s="200"/>
      <c r="N34" s="200"/>
    </row>
    <row r="35" spans="1:14" ht="75">
      <c r="A35" s="100" t="s">
        <v>18</v>
      </c>
      <c r="B35" s="100">
        <v>2</v>
      </c>
      <c r="C35" s="100" t="s">
        <v>26</v>
      </c>
      <c r="D35" s="100" t="s">
        <v>34</v>
      </c>
      <c r="E35" s="102" t="s">
        <v>366</v>
      </c>
      <c r="F35" s="98" t="s">
        <v>367</v>
      </c>
      <c r="G35" s="98" t="s">
        <v>365</v>
      </c>
      <c r="H35" s="104">
        <v>18400</v>
      </c>
      <c r="I35" s="104">
        <v>9452.12</v>
      </c>
      <c r="J35" s="81">
        <v>73368.3</v>
      </c>
      <c r="K35" s="81">
        <v>84023.1</v>
      </c>
      <c r="L35" s="81">
        <f>'Форма 1'!M75</f>
        <v>49382.3</v>
      </c>
      <c r="M35" s="81">
        <f>L35/J35*100</f>
        <v>67.30740660475982</v>
      </c>
      <c r="N35" s="81">
        <f>L35/K35*100</f>
        <v>58.77229000120205</v>
      </c>
    </row>
    <row r="36" spans="1:14" ht="60">
      <c r="A36" s="100" t="s">
        <v>18</v>
      </c>
      <c r="B36" s="100">
        <v>2</v>
      </c>
      <c r="C36" s="100" t="s">
        <v>27</v>
      </c>
      <c r="D36" s="100"/>
      <c r="E36" s="102" t="s">
        <v>28</v>
      </c>
      <c r="F36" s="200"/>
      <c r="G36" s="200"/>
      <c r="H36" s="200"/>
      <c r="I36" s="200"/>
      <c r="J36" s="200"/>
      <c r="K36" s="200"/>
      <c r="L36" s="200"/>
      <c r="M36" s="200"/>
      <c r="N36" s="200"/>
    </row>
    <row r="37" spans="1:14" ht="105">
      <c r="A37" s="100" t="s">
        <v>18</v>
      </c>
      <c r="B37" s="100">
        <v>2</v>
      </c>
      <c r="C37" s="100" t="s">
        <v>27</v>
      </c>
      <c r="D37" s="100" t="s">
        <v>34</v>
      </c>
      <c r="E37" s="102" t="s">
        <v>368</v>
      </c>
      <c r="F37" s="98" t="s">
        <v>369</v>
      </c>
      <c r="G37" s="98" t="s">
        <v>365</v>
      </c>
      <c r="H37" s="103">
        <v>399</v>
      </c>
      <c r="I37" s="103">
        <v>192</v>
      </c>
      <c r="J37" s="81">
        <v>9476.1</v>
      </c>
      <c r="K37" s="81">
        <f>ROUND(643648.1*1.17%,1)</f>
        <v>7530.7</v>
      </c>
      <c r="L37" s="81">
        <f>K37/'Форма 1'!L83*'Форма 1'!M83</f>
        <v>4362.236305653281</v>
      </c>
      <c r="M37" s="81">
        <f>L37/J37*100</f>
        <v>46.03408897809522</v>
      </c>
      <c r="N37" s="81">
        <f>L37/K37*100</f>
        <v>57.92604015102556</v>
      </c>
    </row>
    <row r="38" spans="1:14" ht="105">
      <c r="A38" s="100" t="s">
        <v>18</v>
      </c>
      <c r="B38" s="100">
        <v>2</v>
      </c>
      <c r="C38" s="100" t="s">
        <v>27</v>
      </c>
      <c r="D38" s="100" t="s">
        <v>34</v>
      </c>
      <c r="E38" s="102" t="s">
        <v>370</v>
      </c>
      <c r="F38" s="98" t="s">
        <v>369</v>
      </c>
      <c r="G38" s="98" t="s">
        <v>365</v>
      </c>
      <c r="H38" s="103">
        <v>3823</v>
      </c>
      <c r="I38" s="103">
        <v>1799</v>
      </c>
      <c r="J38" s="81">
        <v>323134.8</v>
      </c>
      <c r="K38" s="81">
        <f>ROUND(643648.1*38.49%,1)+ROUND(394004.1*3.27%,1)</f>
        <v>260624.1</v>
      </c>
      <c r="L38" s="81">
        <f>K38/'Форма 1'!L83*'Форма 1'!M83</f>
        <v>150969.22080924897</v>
      </c>
      <c r="M38" s="81">
        <f>L38/J38*100</f>
        <v>46.72019875582853</v>
      </c>
      <c r="N38" s="81">
        <f>L38/K38*100</f>
        <v>57.926040151025546</v>
      </c>
    </row>
    <row r="39" spans="1:14" ht="120">
      <c r="A39" s="100" t="s">
        <v>18</v>
      </c>
      <c r="B39" s="100">
        <v>2</v>
      </c>
      <c r="C39" s="100" t="s">
        <v>27</v>
      </c>
      <c r="D39" s="100" t="s">
        <v>34</v>
      </c>
      <c r="E39" s="102" t="s">
        <v>439</v>
      </c>
      <c r="F39" s="98" t="s">
        <v>369</v>
      </c>
      <c r="G39" s="98" t="s">
        <v>365</v>
      </c>
      <c r="H39" s="103">
        <v>3783</v>
      </c>
      <c r="I39" s="103">
        <v>1925</v>
      </c>
      <c r="J39" s="81">
        <v>111817.9</v>
      </c>
      <c r="K39" s="81">
        <f>ROUND(643648.1*15.87%,1)</f>
        <v>102147</v>
      </c>
      <c r="L39" s="81">
        <f>K39/'Форма 1'!L83*'Форма 1'!M83</f>
        <v>59169.71223306807</v>
      </c>
      <c r="M39" s="81">
        <f>L39/J39*100</f>
        <v>52.91613617593255</v>
      </c>
      <c r="N39" s="81">
        <f>L39/K39*100</f>
        <v>57.926040151025546</v>
      </c>
    </row>
    <row r="40" spans="1:14" ht="105">
      <c r="A40" s="100" t="s">
        <v>18</v>
      </c>
      <c r="B40" s="100">
        <v>2</v>
      </c>
      <c r="C40" s="100" t="s">
        <v>27</v>
      </c>
      <c r="D40" s="100" t="s">
        <v>34</v>
      </c>
      <c r="E40" s="102" t="s">
        <v>371</v>
      </c>
      <c r="F40" s="98" t="s">
        <v>369</v>
      </c>
      <c r="G40" s="98" t="s">
        <v>365</v>
      </c>
      <c r="H40" s="103">
        <v>8394</v>
      </c>
      <c r="I40" s="103">
        <v>4391</v>
      </c>
      <c r="J40" s="81">
        <v>472857.1</v>
      </c>
      <c r="K40" s="81">
        <f>ROUND(643648.1*39.64%,1)+ROUND(394004.1*96.73%,1)</f>
        <v>636262.3</v>
      </c>
      <c r="L40" s="81">
        <f>K40/'Форма 1'!L83*'Форма 1'!M83</f>
        <v>368561.55536383874</v>
      </c>
      <c r="M40" s="81">
        <f>L40/J40*100</f>
        <v>77.94353841019597</v>
      </c>
      <c r="N40" s="81">
        <f>L40/K40*100</f>
        <v>57.92604015102556</v>
      </c>
    </row>
    <row r="41" spans="1:14" ht="135">
      <c r="A41" s="100" t="s">
        <v>18</v>
      </c>
      <c r="B41" s="100">
        <v>2</v>
      </c>
      <c r="C41" s="100" t="s">
        <v>27</v>
      </c>
      <c r="D41" s="100" t="s">
        <v>34</v>
      </c>
      <c r="E41" s="102" t="s">
        <v>372</v>
      </c>
      <c r="F41" s="98" t="s">
        <v>369</v>
      </c>
      <c r="G41" s="98" t="s">
        <v>365</v>
      </c>
      <c r="H41" s="103">
        <v>317</v>
      </c>
      <c r="I41" s="103">
        <v>162</v>
      </c>
      <c r="J41" s="81">
        <v>30323.5</v>
      </c>
      <c r="K41" s="81">
        <f>ROUND(643648.1*4.11%,1)</f>
        <v>26453.9</v>
      </c>
      <c r="L41" s="81">
        <f>K41/'Форма 1'!L83*'Форма 1'!M83</f>
        <v>15323.69673551215</v>
      </c>
      <c r="M41" s="81">
        <f>L41/J41*100</f>
        <v>50.53406346731792</v>
      </c>
      <c r="N41" s="81">
        <f>L41/K41*100</f>
        <v>57.92604015102556</v>
      </c>
    </row>
    <row r="42" spans="1:14" ht="45">
      <c r="A42" s="100" t="s">
        <v>18</v>
      </c>
      <c r="B42" s="100">
        <v>2</v>
      </c>
      <c r="C42" s="100" t="s">
        <v>29</v>
      </c>
      <c r="D42" s="100"/>
      <c r="E42" s="102" t="s">
        <v>30</v>
      </c>
      <c r="F42" s="200"/>
      <c r="G42" s="200"/>
      <c r="H42" s="200"/>
      <c r="I42" s="200"/>
      <c r="J42" s="200"/>
      <c r="K42" s="200"/>
      <c r="L42" s="200"/>
      <c r="M42" s="200"/>
      <c r="N42" s="200"/>
    </row>
    <row r="43" spans="1:14" ht="165">
      <c r="A43" s="100" t="s">
        <v>18</v>
      </c>
      <c r="B43" s="100">
        <v>2</v>
      </c>
      <c r="C43" s="100" t="s">
        <v>29</v>
      </c>
      <c r="D43" s="100" t="s">
        <v>34</v>
      </c>
      <c r="E43" s="102" t="s">
        <v>373</v>
      </c>
      <c r="F43" s="98" t="s">
        <v>364</v>
      </c>
      <c r="G43" s="98" t="s">
        <v>365</v>
      </c>
      <c r="H43" s="103">
        <v>192123</v>
      </c>
      <c r="I43" s="103">
        <v>100702</v>
      </c>
      <c r="J43" s="81">
        <v>109999.3</v>
      </c>
      <c r="K43" s="81">
        <f>ROUND(608267.2*(17.93+0.27)%,1)+ROUND(18950*18.45%,1)</f>
        <v>114200.90000000001</v>
      </c>
      <c r="L43" s="81">
        <f>K43/'Форма 1'!L85*'Форма 1'!M85</f>
        <v>61858.56319646767</v>
      </c>
      <c r="M43" s="81">
        <f aca="true" t="shared" si="0" ref="M43:M57">L43/J43*100</f>
        <v>56.23541531306806</v>
      </c>
      <c r="N43" s="81">
        <f aca="true" t="shared" si="1" ref="N43:N57">L43/K43*100</f>
        <v>54.166441066986046</v>
      </c>
    </row>
    <row r="44" spans="1:14" ht="165">
      <c r="A44" s="100" t="s">
        <v>18</v>
      </c>
      <c r="B44" s="100">
        <v>2</v>
      </c>
      <c r="C44" s="100" t="s">
        <v>29</v>
      </c>
      <c r="D44" s="100" t="s">
        <v>34</v>
      </c>
      <c r="E44" s="102" t="s">
        <v>374</v>
      </c>
      <c r="F44" s="98" t="s">
        <v>364</v>
      </c>
      <c r="G44" s="98" t="s">
        <v>365</v>
      </c>
      <c r="H44" s="103">
        <v>155853</v>
      </c>
      <c r="I44" s="103">
        <v>79356</v>
      </c>
      <c r="J44" s="81">
        <v>72934.5</v>
      </c>
      <c r="K44" s="81">
        <f>ROUND(608267.2*(11.83+2.2)%,1)</f>
        <v>85339.9</v>
      </c>
      <c r="L44" s="81">
        <f>K44/'Форма 1'!L85*'Форма 1'!M85</f>
        <v>46225.58664012482</v>
      </c>
      <c r="M44" s="81">
        <f t="shared" si="0"/>
        <v>63.379589412589134</v>
      </c>
      <c r="N44" s="81">
        <f t="shared" si="1"/>
        <v>54.166441066986046</v>
      </c>
    </row>
    <row r="45" spans="1:14" ht="180">
      <c r="A45" s="100" t="s">
        <v>18</v>
      </c>
      <c r="B45" s="100">
        <v>2</v>
      </c>
      <c r="C45" s="100" t="s">
        <v>29</v>
      </c>
      <c r="D45" s="100" t="s">
        <v>34</v>
      </c>
      <c r="E45" s="102" t="s">
        <v>375</v>
      </c>
      <c r="F45" s="98" t="s">
        <v>364</v>
      </c>
      <c r="G45" s="98" t="s">
        <v>365</v>
      </c>
      <c r="H45" s="103">
        <v>45941</v>
      </c>
      <c r="I45" s="103">
        <v>24618</v>
      </c>
      <c r="J45" s="81">
        <v>63369.3</v>
      </c>
      <c r="K45" s="81">
        <f>ROUND(608267.2*11.33%,1)</f>
        <v>68916.7</v>
      </c>
      <c r="L45" s="81">
        <f>K45/'Форма 1'!L85*'Форма 1'!M85</f>
        <v>37329.723690811574</v>
      </c>
      <c r="M45" s="81">
        <f t="shared" si="0"/>
        <v>58.908215320054936</v>
      </c>
      <c r="N45" s="81">
        <f t="shared" si="1"/>
        <v>54.166441066986046</v>
      </c>
    </row>
    <row r="46" spans="1:14" ht="195">
      <c r="A46" s="100" t="s">
        <v>18</v>
      </c>
      <c r="B46" s="100">
        <v>2</v>
      </c>
      <c r="C46" s="100" t="s">
        <v>29</v>
      </c>
      <c r="D46" s="100" t="s">
        <v>34</v>
      </c>
      <c r="E46" s="102" t="s">
        <v>376</v>
      </c>
      <c r="F46" s="98" t="s">
        <v>364</v>
      </c>
      <c r="G46" s="98" t="s">
        <v>365</v>
      </c>
      <c r="H46" s="103">
        <v>32910</v>
      </c>
      <c r="I46" s="103">
        <v>17899</v>
      </c>
      <c r="J46" s="81">
        <v>49619.4</v>
      </c>
      <c r="K46" s="81">
        <f>ROUND(608267.2*8.57%,1)</f>
        <v>52128.5</v>
      </c>
      <c r="L46" s="81">
        <f>K46/'Форма 1'!L85*'Форма 1'!M85</f>
        <v>28236.15323160382</v>
      </c>
      <c r="M46" s="81">
        <f t="shared" si="0"/>
        <v>56.9054709077575</v>
      </c>
      <c r="N46" s="81">
        <f t="shared" si="1"/>
        <v>54.166441066986046</v>
      </c>
    </row>
    <row r="47" spans="1:14" ht="165">
      <c r="A47" s="100" t="s">
        <v>18</v>
      </c>
      <c r="B47" s="100">
        <v>2</v>
      </c>
      <c r="C47" s="100" t="s">
        <v>29</v>
      </c>
      <c r="D47" s="100" t="s">
        <v>34</v>
      </c>
      <c r="E47" s="102" t="s">
        <v>377</v>
      </c>
      <c r="F47" s="98" t="s">
        <v>364</v>
      </c>
      <c r="G47" s="98" t="s">
        <v>365</v>
      </c>
      <c r="H47" s="103">
        <v>207953</v>
      </c>
      <c r="I47" s="103">
        <v>103028</v>
      </c>
      <c r="J47" s="81">
        <v>129727.7</v>
      </c>
      <c r="K47" s="81">
        <f>ROUND(608267.2*20.76%,1)+ROUND(18950*47.29%,1)</f>
        <v>135237.8</v>
      </c>
      <c r="L47" s="81">
        <f>K47/'Форма 1'!L85*'Форма 1'!M85</f>
        <v>73253.50323728845</v>
      </c>
      <c r="M47" s="81">
        <f t="shared" si="0"/>
        <v>56.467125553978406</v>
      </c>
      <c r="N47" s="81">
        <f t="shared" si="1"/>
        <v>54.166441066986046</v>
      </c>
    </row>
    <row r="48" spans="1:14" ht="105">
      <c r="A48" s="100" t="s">
        <v>18</v>
      </c>
      <c r="B48" s="100">
        <v>2</v>
      </c>
      <c r="C48" s="100" t="s">
        <v>29</v>
      </c>
      <c r="D48" s="100" t="s">
        <v>34</v>
      </c>
      <c r="E48" s="102" t="s">
        <v>378</v>
      </c>
      <c r="F48" s="98" t="s">
        <v>364</v>
      </c>
      <c r="G48" s="98" t="s">
        <v>365</v>
      </c>
      <c r="H48" s="103">
        <v>2710</v>
      </c>
      <c r="I48" s="103">
        <v>1436</v>
      </c>
      <c r="J48" s="81">
        <v>3587</v>
      </c>
      <c r="K48" s="81">
        <f>ROUND(608267.2*0.61%,1)</f>
        <v>3710.4</v>
      </c>
      <c r="L48" s="81">
        <f>K48/'Форма 1'!L85*'Форма 1'!M85</f>
        <v>2009.7916293494504</v>
      </c>
      <c r="M48" s="81">
        <f t="shared" si="0"/>
        <v>56.029875365192375</v>
      </c>
      <c r="N48" s="81">
        <f t="shared" si="1"/>
        <v>54.166441066986046</v>
      </c>
    </row>
    <row r="49" spans="1:14" ht="45">
      <c r="A49" s="100" t="s">
        <v>18</v>
      </c>
      <c r="B49" s="100">
        <v>2</v>
      </c>
      <c r="C49" s="100" t="s">
        <v>29</v>
      </c>
      <c r="D49" s="100" t="s">
        <v>34</v>
      </c>
      <c r="E49" s="102" t="s">
        <v>379</v>
      </c>
      <c r="F49" s="98" t="s">
        <v>380</v>
      </c>
      <c r="G49" s="98" t="s">
        <v>335</v>
      </c>
      <c r="H49" s="103">
        <v>74612</v>
      </c>
      <c r="I49" s="103">
        <v>38999</v>
      </c>
      <c r="J49" s="81">
        <v>23912.9</v>
      </c>
      <c r="K49" s="81">
        <f>ROUND(608267.2*3.43%,1)+ROUND(18950*34.26%,1)</f>
        <v>27355.899999999998</v>
      </c>
      <c r="L49" s="81">
        <f>K49/'Форма 1'!L85*'Форма 1'!M85</f>
        <v>14817.717451843635</v>
      </c>
      <c r="M49" s="81">
        <f t="shared" si="0"/>
        <v>61.96537204539656</v>
      </c>
      <c r="N49" s="81">
        <f t="shared" si="1"/>
        <v>54.166441066986046</v>
      </c>
    </row>
    <row r="50" spans="1:14" ht="75">
      <c r="A50" s="100" t="s">
        <v>18</v>
      </c>
      <c r="B50" s="100">
        <v>2</v>
      </c>
      <c r="C50" s="100" t="s">
        <v>29</v>
      </c>
      <c r="D50" s="100" t="s">
        <v>34</v>
      </c>
      <c r="E50" s="102" t="s">
        <v>381</v>
      </c>
      <c r="F50" s="98" t="s">
        <v>364</v>
      </c>
      <c r="G50" s="98" t="s">
        <v>365</v>
      </c>
      <c r="H50" s="103">
        <v>171690</v>
      </c>
      <c r="I50" s="103">
        <v>91553</v>
      </c>
      <c r="J50" s="81">
        <v>57391.1</v>
      </c>
      <c r="K50" s="81">
        <f>ROUND(608267.2*(9.07+0.08)%,1)</f>
        <v>55656.4</v>
      </c>
      <c r="L50" s="81">
        <f>K50/'Форма 1'!L85*'Форма 1'!M85</f>
        <v>30147.091106006024</v>
      </c>
      <c r="M50" s="81">
        <f t="shared" si="0"/>
        <v>52.52920941749858</v>
      </c>
      <c r="N50" s="81">
        <f t="shared" si="1"/>
        <v>54.166441066986046</v>
      </c>
    </row>
    <row r="51" spans="1:14" ht="75">
      <c r="A51" s="100" t="s">
        <v>18</v>
      </c>
      <c r="B51" s="100">
        <v>2</v>
      </c>
      <c r="C51" s="100" t="s">
        <v>29</v>
      </c>
      <c r="D51" s="100" t="s">
        <v>34</v>
      </c>
      <c r="E51" s="102" t="s">
        <v>382</v>
      </c>
      <c r="F51" s="98" t="s">
        <v>383</v>
      </c>
      <c r="G51" s="98" t="s">
        <v>344</v>
      </c>
      <c r="H51" s="103">
        <v>18649</v>
      </c>
      <c r="I51" s="103">
        <v>11941</v>
      </c>
      <c r="J51" s="81">
        <v>23315.2</v>
      </c>
      <c r="K51" s="81">
        <f>ROUND(608267.2*3.74%,1)</f>
        <v>22749.2</v>
      </c>
      <c r="L51" s="81">
        <f>K51/'Форма 1'!L85*'Форма 1'!M85</f>
        <v>12322.43201121079</v>
      </c>
      <c r="M51" s="81">
        <f t="shared" si="0"/>
        <v>52.85149606784755</v>
      </c>
      <c r="N51" s="81">
        <f t="shared" si="1"/>
        <v>54.166441066986046</v>
      </c>
    </row>
    <row r="52" spans="1:14" ht="30">
      <c r="A52" s="100" t="s">
        <v>18</v>
      </c>
      <c r="B52" s="100">
        <v>2</v>
      </c>
      <c r="C52" s="100" t="s">
        <v>29</v>
      </c>
      <c r="D52" s="100" t="s">
        <v>34</v>
      </c>
      <c r="E52" s="102" t="s">
        <v>384</v>
      </c>
      <c r="F52" s="98" t="s">
        <v>385</v>
      </c>
      <c r="G52" s="98" t="s">
        <v>365</v>
      </c>
      <c r="H52" s="103">
        <v>4000</v>
      </c>
      <c r="I52" s="103">
        <v>2376</v>
      </c>
      <c r="J52" s="81">
        <v>16739.1</v>
      </c>
      <c r="K52" s="81">
        <f>ROUND(608267.2*3.08%,1)</f>
        <v>18734.6</v>
      </c>
      <c r="L52" s="81">
        <f>K52/'Форма 1'!L85*'Форма 1'!M85</f>
        <v>10147.866068135567</v>
      </c>
      <c r="M52" s="81">
        <f t="shared" si="0"/>
        <v>60.62372569693453</v>
      </c>
      <c r="N52" s="81">
        <f t="shared" si="1"/>
        <v>54.166441066986046</v>
      </c>
    </row>
    <row r="53" spans="1:14" ht="60">
      <c r="A53" s="100" t="s">
        <v>18</v>
      </c>
      <c r="B53" s="100">
        <v>2</v>
      </c>
      <c r="C53" s="100" t="s">
        <v>29</v>
      </c>
      <c r="D53" s="100" t="s">
        <v>34</v>
      </c>
      <c r="E53" s="102" t="s">
        <v>386</v>
      </c>
      <c r="F53" s="98" t="s">
        <v>380</v>
      </c>
      <c r="G53" s="98" t="s">
        <v>341</v>
      </c>
      <c r="H53" s="103">
        <v>19220</v>
      </c>
      <c r="I53" s="103">
        <v>9374</v>
      </c>
      <c r="J53" s="81">
        <v>16739.1</v>
      </c>
      <c r="K53" s="81">
        <f>ROUND(608267.2*2.62%,1)</f>
        <v>15936.6</v>
      </c>
      <c r="L53" s="81">
        <f>K53/'Форма 1'!L85*'Форма 1'!M85</f>
        <v>8632.289047081298</v>
      </c>
      <c r="M53" s="81">
        <f t="shared" si="0"/>
        <v>51.56961274549586</v>
      </c>
      <c r="N53" s="81">
        <f t="shared" si="1"/>
        <v>54.166441066986046</v>
      </c>
    </row>
    <row r="54" spans="1:14" ht="135">
      <c r="A54" s="100" t="s">
        <v>18</v>
      </c>
      <c r="B54" s="100">
        <v>2</v>
      </c>
      <c r="C54" s="100" t="s">
        <v>29</v>
      </c>
      <c r="D54" s="100" t="s">
        <v>34</v>
      </c>
      <c r="E54" s="102" t="s">
        <v>387</v>
      </c>
      <c r="F54" s="98" t="s">
        <v>364</v>
      </c>
      <c r="G54" s="98" t="s">
        <v>365</v>
      </c>
      <c r="H54" s="103">
        <v>0</v>
      </c>
      <c r="I54" s="103">
        <v>0</v>
      </c>
      <c r="J54" s="81">
        <v>0</v>
      </c>
      <c r="K54" s="81">
        <v>0</v>
      </c>
      <c r="L54" s="81">
        <f>K54/(K54+K55+K56+K57+K43+K44+K45+K46+K47+K48+K49+K50+K51+K52+K53)*'Форма 1'!M85</f>
        <v>0</v>
      </c>
      <c r="M54" s="81">
        <v>0</v>
      </c>
      <c r="N54" s="81">
        <v>0</v>
      </c>
    </row>
    <row r="55" spans="1:14" ht="135">
      <c r="A55" s="100" t="s">
        <v>18</v>
      </c>
      <c r="B55" s="100">
        <v>2</v>
      </c>
      <c r="C55" s="100" t="s">
        <v>29</v>
      </c>
      <c r="D55" s="100" t="s">
        <v>34</v>
      </c>
      <c r="E55" s="102" t="s">
        <v>388</v>
      </c>
      <c r="F55" s="98" t="s">
        <v>364</v>
      </c>
      <c r="G55" s="98" t="s">
        <v>365</v>
      </c>
      <c r="H55" s="103">
        <v>11780</v>
      </c>
      <c r="I55" s="103">
        <v>5803</v>
      </c>
      <c r="J55" s="81">
        <v>597.8</v>
      </c>
      <c r="K55" s="81">
        <f>ROUND(608267.2*0.05%,1)</f>
        <v>304.1</v>
      </c>
      <c r="L55" s="81">
        <f>K55/'Форма 1'!L85*'Форма 1'!M85</f>
        <v>164.72014728470458</v>
      </c>
      <c r="M55" s="81">
        <f t="shared" si="0"/>
        <v>27.554390646487885</v>
      </c>
      <c r="N55" s="81">
        <f t="shared" si="1"/>
        <v>54.166441066986046</v>
      </c>
    </row>
    <row r="56" spans="1:14" ht="105">
      <c r="A56" s="100"/>
      <c r="B56" s="100"/>
      <c r="C56" s="100"/>
      <c r="D56" s="100"/>
      <c r="E56" s="102" t="s">
        <v>389</v>
      </c>
      <c r="F56" s="98" t="s">
        <v>390</v>
      </c>
      <c r="G56" s="98" t="s">
        <v>365</v>
      </c>
      <c r="H56" s="103">
        <v>600</v>
      </c>
      <c r="I56" s="103">
        <v>340</v>
      </c>
      <c r="J56" s="81">
        <v>5626.8</v>
      </c>
      <c r="K56" s="81">
        <f>ROUND(608267.2*0.92%,1)</f>
        <v>5596.1</v>
      </c>
      <c r="L56" s="81">
        <f>K56/'Форма 1'!L85*'Форма 1'!M85</f>
        <v>3031.2082085496063</v>
      </c>
      <c r="M56" s="81">
        <f t="shared" si="0"/>
        <v>53.87090723945415</v>
      </c>
      <c r="N56" s="81">
        <f t="shared" si="1"/>
        <v>54.166441066986046</v>
      </c>
    </row>
    <row r="57" spans="1:14" ht="90">
      <c r="A57" s="100"/>
      <c r="B57" s="100"/>
      <c r="C57" s="100"/>
      <c r="D57" s="100"/>
      <c r="E57" s="102" t="s">
        <v>391</v>
      </c>
      <c r="F57" s="98" t="s">
        <v>364</v>
      </c>
      <c r="G57" s="98" t="s">
        <v>365</v>
      </c>
      <c r="H57" s="103">
        <v>3800</v>
      </c>
      <c r="I57" s="103">
        <v>2280</v>
      </c>
      <c r="J57" s="81">
        <v>2391.3</v>
      </c>
      <c r="K57" s="81">
        <f>ROUND(608267.2*0.35%,1)</f>
        <v>2128.9</v>
      </c>
      <c r="L57" s="81">
        <f>K57/'Форма 1'!L85*'Форма 1'!M85</f>
        <v>1153.149363875066</v>
      </c>
      <c r="M57" s="81">
        <f t="shared" si="0"/>
        <v>48.22269743967992</v>
      </c>
      <c r="N57" s="81">
        <f t="shared" si="1"/>
        <v>54.166441066986046</v>
      </c>
    </row>
    <row r="58" spans="1:14" ht="60">
      <c r="A58" s="100" t="s">
        <v>18</v>
      </c>
      <c r="B58" s="100">
        <v>2</v>
      </c>
      <c r="C58" s="100" t="s">
        <v>31</v>
      </c>
      <c r="D58" s="100"/>
      <c r="E58" s="102" t="s">
        <v>32</v>
      </c>
      <c r="F58" s="202"/>
      <c r="G58" s="202"/>
      <c r="H58" s="202"/>
      <c r="I58" s="202"/>
      <c r="J58" s="202"/>
      <c r="K58" s="202"/>
      <c r="L58" s="202"/>
      <c r="M58" s="202"/>
      <c r="N58" s="202"/>
    </row>
    <row r="59" spans="1:14" ht="105">
      <c r="A59" s="100" t="s">
        <v>18</v>
      </c>
      <c r="B59" s="100">
        <v>2</v>
      </c>
      <c r="C59" s="100" t="s">
        <v>31</v>
      </c>
      <c r="D59" s="100" t="s">
        <v>34</v>
      </c>
      <c r="E59" s="102" t="s">
        <v>392</v>
      </c>
      <c r="F59" s="98" t="s">
        <v>393</v>
      </c>
      <c r="G59" s="98" t="s">
        <v>365</v>
      </c>
      <c r="H59" s="103">
        <v>2739</v>
      </c>
      <c r="I59" s="103">
        <v>1431</v>
      </c>
      <c r="J59" s="81">
        <v>25328.3</v>
      </c>
      <c r="K59" s="81">
        <f>ROUND(57571.9*51.24%,1)</f>
        <v>29499.8</v>
      </c>
      <c r="L59" s="81">
        <f>K59/(K59+K60+K61+K62+K63+K64)*'Форма 1'!M87</f>
        <v>16939.104387330706</v>
      </c>
      <c r="M59" s="81">
        <f aca="true" t="shared" si="2" ref="M59:M64">L59/J59*100</f>
        <v>66.87817337654207</v>
      </c>
      <c r="N59" s="81">
        <f aca="true" t="shared" si="3" ref="N59:N64">L59/K59*100</f>
        <v>57.42108213388127</v>
      </c>
    </row>
    <row r="60" spans="1:14" ht="105">
      <c r="A60" s="100" t="s">
        <v>18</v>
      </c>
      <c r="B60" s="100">
        <v>2</v>
      </c>
      <c r="C60" s="100" t="s">
        <v>31</v>
      </c>
      <c r="D60" s="100" t="s">
        <v>34</v>
      </c>
      <c r="E60" s="102" t="s">
        <v>394</v>
      </c>
      <c r="F60" s="98" t="s">
        <v>393</v>
      </c>
      <c r="G60" s="98" t="s">
        <v>365</v>
      </c>
      <c r="H60" s="103">
        <v>205</v>
      </c>
      <c r="I60" s="103">
        <v>108</v>
      </c>
      <c r="J60" s="81">
        <v>9695.5</v>
      </c>
      <c r="K60" s="81">
        <f>ROUND(57571.9*(2.35+9.68)%,1)+2191.5</f>
        <v>9117.4</v>
      </c>
      <c r="L60" s="81">
        <f>K60/(K60+K61+K62+K63+K64+K59)*'Форма 1'!M87</f>
        <v>5235.30974247449</v>
      </c>
      <c r="M60" s="81">
        <f t="shared" si="2"/>
        <v>53.99731568742705</v>
      </c>
      <c r="N60" s="81">
        <f t="shared" si="3"/>
        <v>57.421082133881264</v>
      </c>
    </row>
    <row r="61" spans="1:14" ht="120">
      <c r="A61" s="100" t="s">
        <v>18</v>
      </c>
      <c r="B61" s="100">
        <v>2</v>
      </c>
      <c r="C61" s="100" t="s">
        <v>31</v>
      </c>
      <c r="D61" s="100" t="s">
        <v>34</v>
      </c>
      <c r="E61" s="102" t="s">
        <v>395</v>
      </c>
      <c r="F61" s="98" t="s">
        <v>393</v>
      </c>
      <c r="G61" s="98" t="s">
        <v>365</v>
      </c>
      <c r="H61" s="103">
        <v>650</v>
      </c>
      <c r="I61" s="103">
        <v>278</v>
      </c>
      <c r="J61" s="81">
        <v>8551.7</v>
      </c>
      <c r="K61" s="81">
        <f>ROUND(57571.9*16.84%,1)</f>
        <v>9695.1</v>
      </c>
      <c r="L61" s="81">
        <f>K61/(K61+K62+K63+K64+K59+K60)*'Форма 1'!M87</f>
        <v>5567.031333961922</v>
      </c>
      <c r="M61" s="81">
        <f t="shared" si="2"/>
        <v>65.0985340220298</v>
      </c>
      <c r="N61" s="81">
        <f>L61/K61*100</f>
        <v>57.421082133881264</v>
      </c>
    </row>
    <row r="62" spans="1:14" ht="135">
      <c r="A62" s="100" t="s">
        <v>18</v>
      </c>
      <c r="B62" s="100">
        <v>2</v>
      </c>
      <c r="C62" s="100" t="s">
        <v>31</v>
      </c>
      <c r="D62" s="100" t="s">
        <v>34</v>
      </c>
      <c r="E62" s="102" t="s">
        <v>396</v>
      </c>
      <c r="F62" s="98" t="s">
        <v>393</v>
      </c>
      <c r="G62" s="98" t="s">
        <v>365</v>
      </c>
      <c r="H62" s="103">
        <v>166</v>
      </c>
      <c r="I62" s="103">
        <v>87</v>
      </c>
      <c r="J62" s="81">
        <v>8824</v>
      </c>
      <c r="K62" s="81">
        <f>ROUND(57571.9*16.5%,1)</f>
        <v>9499.4</v>
      </c>
      <c r="L62" s="81">
        <f>K62/(K62+K63+K64+K59+K60+K61)*'Форма 1'!M87</f>
        <v>5454.658276225917</v>
      </c>
      <c r="M62" s="81">
        <f t="shared" si="2"/>
        <v>61.81616360183496</v>
      </c>
      <c r="N62" s="81">
        <f t="shared" si="3"/>
        <v>57.421082133881264</v>
      </c>
    </row>
    <row r="63" spans="1:14" ht="120">
      <c r="A63" s="100" t="s">
        <v>18</v>
      </c>
      <c r="B63" s="100">
        <v>2</v>
      </c>
      <c r="C63" s="100" t="s">
        <v>31</v>
      </c>
      <c r="D63" s="100" t="s">
        <v>34</v>
      </c>
      <c r="E63" s="102" t="s">
        <v>397</v>
      </c>
      <c r="F63" s="98" t="s">
        <v>393</v>
      </c>
      <c r="G63" s="98" t="s">
        <v>365</v>
      </c>
      <c r="H63" s="103">
        <v>132</v>
      </c>
      <c r="I63" s="103">
        <v>77</v>
      </c>
      <c r="J63" s="81">
        <v>980.4</v>
      </c>
      <c r="K63" s="81">
        <f>ROUND(57571.9*1.48%,1)</f>
        <v>852.1</v>
      </c>
      <c r="L63" s="81">
        <f>K63/(K63+K64+K59+K60+K61+K62)*'Форма 1'!M87</f>
        <v>489.28504086280225</v>
      </c>
      <c r="M63" s="81">
        <f t="shared" si="2"/>
        <v>49.90667491460651</v>
      </c>
      <c r="N63" s="81">
        <f t="shared" si="3"/>
        <v>57.421082133881264</v>
      </c>
    </row>
    <row r="64" spans="1:14" ht="105">
      <c r="A64" s="100" t="s">
        <v>18</v>
      </c>
      <c r="B64" s="100">
        <v>2</v>
      </c>
      <c r="C64" s="100" t="s">
        <v>31</v>
      </c>
      <c r="D64" s="100" t="s">
        <v>34</v>
      </c>
      <c r="E64" s="102" t="s">
        <v>398</v>
      </c>
      <c r="F64" s="98" t="s">
        <v>393</v>
      </c>
      <c r="G64" s="98" t="s">
        <v>365</v>
      </c>
      <c r="H64" s="103">
        <v>67</v>
      </c>
      <c r="I64" s="103">
        <v>37</v>
      </c>
      <c r="J64" s="81">
        <v>1089.4</v>
      </c>
      <c r="K64" s="81">
        <f>ROUND(57571.9*1.91%,1)</f>
        <v>1099.6</v>
      </c>
      <c r="L64" s="81">
        <f>K64/(K64+K59+K60+K61+K62+K63)*'Форма 1'!M87</f>
        <v>631.4022191441584</v>
      </c>
      <c r="M64" s="81">
        <f t="shared" si="2"/>
        <v>57.958712974495896</v>
      </c>
      <c r="N64" s="81">
        <f t="shared" si="3"/>
        <v>57.42108213388127</v>
      </c>
    </row>
    <row r="65" spans="1:14" ht="15">
      <c r="A65" s="100" t="s">
        <v>18</v>
      </c>
      <c r="B65" s="100" t="s">
        <v>399</v>
      </c>
      <c r="C65" s="100"/>
      <c r="D65" s="100"/>
      <c r="E65" s="201" t="s">
        <v>400</v>
      </c>
      <c r="F65" s="202"/>
      <c r="G65" s="202"/>
      <c r="H65" s="202"/>
      <c r="I65" s="202"/>
      <c r="J65" s="202"/>
      <c r="K65" s="202"/>
      <c r="L65" s="202"/>
      <c r="M65" s="202"/>
      <c r="N65" s="202"/>
    </row>
    <row r="66" spans="1:14" ht="75">
      <c r="A66" s="100" t="s">
        <v>18</v>
      </c>
      <c r="B66" s="100">
        <v>3</v>
      </c>
      <c r="C66" s="100" t="s">
        <v>34</v>
      </c>
      <c r="D66" s="100"/>
      <c r="E66" s="102" t="s">
        <v>33</v>
      </c>
      <c r="F66" s="200"/>
      <c r="G66" s="200"/>
      <c r="H66" s="200"/>
      <c r="I66" s="200"/>
      <c r="J66" s="200"/>
      <c r="K66" s="200"/>
      <c r="L66" s="200"/>
      <c r="M66" s="200"/>
      <c r="N66" s="200"/>
    </row>
    <row r="67" spans="1:16" ht="75">
      <c r="A67" s="100" t="s">
        <v>18</v>
      </c>
      <c r="B67" s="100" t="s">
        <v>438</v>
      </c>
      <c r="C67" s="100" t="s">
        <v>34</v>
      </c>
      <c r="D67" s="100" t="s">
        <v>34</v>
      </c>
      <c r="E67" s="102" t="s">
        <v>532</v>
      </c>
      <c r="F67" s="98" t="s">
        <v>348</v>
      </c>
      <c r="G67" s="98" t="s">
        <v>344</v>
      </c>
      <c r="H67" s="103">
        <v>1268</v>
      </c>
      <c r="I67" s="103">
        <v>1071</v>
      </c>
      <c r="J67" s="81">
        <v>27499.9</v>
      </c>
      <c r="K67" s="81">
        <f>ROUND(608267.2*3.16%,1)</f>
        <v>19221.2</v>
      </c>
      <c r="L67" s="81">
        <f>K67/'Форма 1'!L85*'Форма 1'!M85</f>
        <v>10411.439970367523</v>
      </c>
      <c r="M67" s="81">
        <f>L67/J67*100</f>
        <v>37.85991938286147</v>
      </c>
      <c r="N67" s="81">
        <f>L67/K67*100</f>
        <v>54.166441066986046</v>
      </c>
      <c r="P67" s="108"/>
    </row>
    <row r="68" spans="1:14" ht="60">
      <c r="A68" s="100" t="s">
        <v>18</v>
      </c>
      <c r="B68" s="100">
        <v>3</v>
      </c>
      <c r="C68" s="100" t="s">
        <v>34</v>
      </c>
      <c r="D68" s="100" t="s">
        <v>34</v>
      </c>
      <c r="E68" s="102" t="s">
        <v>401</v>
      </c>
      <c r="F68" s="98" t="s">
        <v>362</v>
      </c>
      <c r="G68" s="98" t="s">
        <v>363</v>
      </c>
      <c r="H68" s="103">
        <v>20075</v>
      </c>
      <c r="I68" s="103">
        <v>9160</v>
      </c>
      <c r="J68" s="81">
        <f>'Форма 1'!K101</f>
        <v>54134.8</v>
      </c>
      <c r="K68" s="81">
        <f>'Форма 1'!L101</f>
        <v>58109</v>
      </c>
      <c r="L68" s="81">
        <f>'Форма 1'!M101</f>
        <v>42318.7</v>
      </c>
      <c r="M68" s="81">
        <f>L68/J68*100</f>
        <v>78.17282044082549</v>
      </c>
      <c r="N68" s="81">
        <f>L68/K68*100</f>
        <v>72.82641243180919</v>
      </c>
    </row>
    <row r="69" spans="1:14" ht="90">
      <c r="A69" s="100" t="s">
        <v>18</v>
      </c>
      <c r="B69" s="100">
        <v>3</v>
      </c>
      <c r="C69" s="100" t="s">
        <v>1</v>
      </c>
      <c r="D69" s="100"/>
      <c r="E69" s="102" t="s">
        <v>2</v>
      </c>
      <c r="F69" s="200"/>
      <c r="G69" s="200"/>
      <c r="H69" s="200"/>
      <c r="I69" s="200"/>
      <c r="J69" s="200"/>
      <c r="K69" s="200"/>
      <c r="L69" s="200"/>
      <c r="M69" s="200"/>
      <c r="N69" s="200"/>
    </row>
    <row r="70" spans="1:14" ht="45">
      <c r="A70" s="100" t="s">
        <v>18</v>
      </c>
      <c r="B70" s="100">
        <v>3</v>
      </c>
      <c r="C70" s="100" t="s">
        <v>1</v>
      </c>
      <c r="D70" s="100" t="s">
        <v>34</v>
      </c>
      <c r="E70" s="102" t="s">
        <v>402</v>
      </c>
      <c r="F70" s="98" t="s">
        <v>403</v>
      </c>
      <c r="G70" s="98" t="s">
        <v>335</v>
      </c>
      <c r="H70" s="103">
        <v>24400</v>
      </c>
      <c r="I70" s="103">
        <v>10958</v>
      </c>
      <c r="J70" s="81">
        <v>16231</v>
      </c>
      <c r="K70" s="81">
        <v>20084.7</v>
      </c>
      <c r="L70" s="81">
        <f>'Форма 1'!M110</f>
        <v>12730.85</v>
      </c>
      <c r="M70" s="81">
        <f>L70/J70*100</f>
        <v>78.43540139239727</v>
      </c>
      <c r="N70" s="81">
        <f>L70/K70*100</f>
        <v>63.385811090033705</v>
      </c>
    </row>
    <row r="71" spans="1:14" ht="15">
      <c r="A71" s="100" t="s">
        <v>18</v>
      </c>
      <c r="B71" s="100">
        <v>4</v>
      </c>
      <c r="C71" s="100"/>
      <c r="D71" s="100"/>
      <c r="E71" s="201" t="s">
        <v>404</v>
      </c>
      <c r="F71" s="201"/>
      <c r="G71" s="201"/>
      <c r="H71" s="201"/>
      <c r="I71" s="201"/>
      <c r="J71" s="201"/>
      <c r="K71" s="201"/>
      <c r="L71" s="201"/>
      <c r="M71" s="201"/>
      <c r="N71" s="201"/>
    </row>
    <row r="72" spans="1:14" ht="30">
      <c r="A72" s="100" t="s">
        <v>18</v>
      </c>
      <c r="B72" s="100">
        <v>4</v>
      </c>
      <c r="C72" s="100" t="s">
        <v>34</v>
      </c>
      <c r="D72" s="100"/>
      <c r="E72" s="102" t="s">
        <v>3</v>
      </c>
      <c r="F72" s="200"/>
      <c r="G72" s="200"/>
      <c r="H72" s="200"/>
      <c r="I72" s="200"/>
      <c r="J72" s="200"/>
      <c r="K72" s="200"/>
      <c r="L72" s="200"/>
      <c r="M72" s="200"/>
      <c r="N72" s="200"/>
    </row>
    <row r="73" spans="1:14" ht="30">
      <c r="A73" s="100" t="s">
        <v>18</v>
      </c>
      <c r="B73" s="100">
        <v>4</v>
      </c>
      <c r="C73" s="100" t="s">
        <v>34</v>
      </c>
      <c r="D73" s="100" t="s">
        <v>34</v>
      </c>
      <c r="E73" s="102" t="s">
        <v>405</v>
      </c>
      <c r="F73" s="98" t="s">
        <v>362</v>
      </c>
      <c r="G73" s="98" t="s">
        <v>363</v>
      </c>
      <c r="H73" s="103">
        <v>168497</v>
      </c>
      <c r="I73" s="103">
        <v>109049</v>
      </c>
      <c r="J73" s="81">
        <f>197922.1+9024.8</f>
        <v>206946.9</v>
      </c>
      <c r="K73" s="81">
        <f>208735.8+9797.2</f>
        <v>218533</v>
      </c>
      <c r="L73" s="81">
        <f>'Форма 1'!M118</f>
        <v>129806.09</v>
      </c>
      <c r="M73" s="81">
        <f>L73/J73*100</f>
        <v>62.72434619701962</v>
      </c>
      <c r="N73" s="81">
        <f>L73/K73*100</f>
        <v>59.398850516855575</v>
      </c>
    </row>
    <row r="74" spans="1:14" ht="15">
      <c r="A74" s="100" t="s">
        <v>18</v>
      </c>
      <c r="B74" s="100">
        <v>5</v>
      </c>
      <c r="C74" s="100"/>
      <c r="D74" s="100"/>
      <c r="E74" s="201" t="s">
        <v>406</v>
      </c>
      <c r="F74" s="201"/>
      <c r="G74" s="201"/>
      <c r="H74" s="201"/>
      <c r="I74" s="201"/>
      <c r="J74" s="201"/>
      <c r="K74" s="201"/>
      <c r="L74" s="201"/>
      <c r="M74" s="201"/>
      <c r="N74" s="201"/>
    </row>
    <row r="75" spans="1:14" ht="30">
      <c r="A75" s="100" t="s">
        <v>18</v>
      </c>
      <c r="B75" s="100">
        <v>5</v>
      </c>
      <c r="C75" s="100" t="s">
        <v>34</v>
      </c>
      <c r="D75" s="100"/>
      <c r="E75" s="102" t="s">
        <v>17</v>
      </c>
      <c r="F75" s="200"/>
      <c r="G75" s="200"/>
      <c r="H75" s="200"/>
      <c r="I75" s="200"/>
      <c r="J75" s="200"/>
      <c r="K75" s="200"/>
      <c r="L75" s="200"/>
      <c r="M75" s="200"/>
      <c r="N75" s="200"/>
    </row>
    <row r="76" spans="1:14" s="121" customFormat="1" ht="60">
      <c r="A76" s="117" t="s">
        <v>18</v>
      </c>
      <c r="B76" s="117">
        <v>5</v>
      </c>
      <c r="C76" s="117" t="s">
        <v>34</v>
      </c>
      <c r="D76" s="117" t="s">
        <v>18</v>
      </c>
      <c r="E76" s="118" t="s">
        <v>407</v>
      </c>
      <c r="F76" s="119" t="s">
        <v>408</v>
      </c>
      <c r="G76" s="119" t="s">
        <v>409</v>
      </c>
      <c r="H76" s="109">
        <v>227</v>
      </c>
      <c r="I76" s="109">
        <v>148</v>
      </c>
      <c r="J76" s="120">
        <v>2198.4</v>
      </c>
      <c r="K76" s="120">
        <f>ROUND(17812.3*8.1%,1)</f>
        <v>1442.8</v>
      </c>
      <c r="L76" s="120">
        <f>K76/(K76+K77+K78)*'Форма 1'!M124</f>
        <v>939.8130101109908</v>
      </c>
      <c r="M76" s="120">
        <f>L76/J76*100</f>
        <v>42.74986399704289</v>
      </c>
      <c r="N76" s="120">
        <f>L76/K76*100</f>
        <v>65.13813488432152</v>
      </c>
    </row>
    <row r="77" spans="1:14" s="121" customFormat="1" ht="60">
      <c r="A77" s="117" t="s">
        <v>18</v>
      </c>
      <c r="B77" s="117">
        <v>5</v>
      </c>
      <c r="C77" s="117" t="s">
        <v>34</v>
      </c>
      <c r="D77" s="117" t="s">
        <v>18</v>
      </c>
      <c r="E77" s="118" t="s">
        <v>534</v>
      </c>
      <c r="F77" s="119" t="s">
        <v>408</v>
      </c>
      <c r="G77" s="119" t="s">
        <v>409</v>
      </c>
      <c r="H77" s="109">
        <v>2578</v>
      </c>
      <c r="I77" s="109">
        <v>507</v>
      </c>
      <c r="J77" s="120">
        <f>ROUND(31110*44.57%,1)</f>
        <v>13865.7</v>
      </c>
      <c r="K77" s="120">
        <f>ROUND(17812.3*40.96%,1)</f>
        <v>7295.9</v>
      </c>
      <c r="L77" s="120">
        <f>K77/(K77+K76+K78)*'Форма 1'!M124</f>
        <v>4752.413183025214</v>
      </c>
      <c r="M77" s="120">
        <f>L77/J77*100</f>
        <v>34.27459978959024</v>
      </c>
      <c r="N77" s="120">
        <f>L77/K77*100</f>
        <v>65.13813488432152</v>
      </c>
    </row>
    <row r="78" spans="1:14" s="121" customFormat="1" ht="60">
      <c r="A78" s="117" t="s">
        <v>35</v>
      </c>
      <c r="B78" s="117">
        <v>6</v>
      </c>
      <c r="C78" s="117" t="s">
        <v>34</v>
      </c>
      <c r="D78" s="117" t="s">
        <v>18</v>
      </c>
      <c r="E78" s="118" t="s">
        <v>533</v>
      </c>
      <c r="F78" s="119" t="s">
        <v>408</v>
      </c>
      <c r="G78" s="119" t="s">
        <v>409</v>
      </c>
      <c r="H78" s="109"/>
      <c r="I78" s="109">
        <v>1143</v>
      </c>
      <c r="J78" s="120">
        <f>ROUND(31110*55.43%,1)</f>
        <v>17244.3</v>
      </c>
      <c r="K78" s="120">
        <f>ROUND(17812.3*50.94%,1)</f>
        <v>9073.6</v>
      </c>
      <c r="L78" s="120">
        <f>K78/(K76+K77+K78)*'Форма 1'!M124</f>
        <v>5910.373806863798</v>
      </c>
      <c r="M78" s="120">
        <f>L78/J78*100</f>
        <v>34.27436200288674</v>
      </c>
      <c r="N78" s="120">
        <f>L78/K78*100</f>
        <v>65.13813488432152</v>
      </c>
    </row>
    <row r="79" spans="1:14" ht="15">
      <c r="A79" s="100" t="s">
        <v>18</v>
      </c>
      <c r="B79" s="100">
        <v>6</v>
      </c>
      <c r="C79" s="100"/>
      <c r="D79" s="100"/>
      <c r="E79" s="201" t="s">
        <v>410</v>
      </c>
      <c r="F79" s="201"/>
      <c r="G79" s="201"/>
      <c r="H79" s="201"/>
      <c r="I79" s="201"/>
      <c r="J79" s="201"/>
      <c r="K79" s="201"/>
      <c r="L79" s="201"/>
      <c r="M79" s="201"/>
      <c r="N79" s="201"/>
    </row>
    <row r="80" spans="1:14" ht="75">
      <c r="A80" s="100" t="s">
        <v>18</v>
      </c>
      <c r="B80" s="100">
        <v>6</v>
      </c>
      <c r="C80" s="100" t="s">
        <v>35</v>
      </c>
      <c r="D80" s="100"/>
      <c r="E80" s="102" t="s">
        <v>4</v>
      </c>
      <c r="F80" s="200"/>
      <c r="G80" s="200"/>
      <c r="H80" s="200"/>
      <c r="I80" s="200"/>
      <c r="J80" s="200"/>
      <c r="K80" s="200"/>
      <c r="L80" s="200"/>
      <c r="M80" s="200"/>
      <c r="N80" s="200"/>
    </row>
    <row r="81" spans="1:14" ht="90">
      <c r="A81" s="100" t="s">
        <v>18</v>
      </c>
      <c r="B81" s="100">
        <v>6</v>
      </c>
      <c r="C81" s="100" t="s">
        <v>35</v>
      </c>
      <c r="D81" s="100" t="s">
        <v>34</v>
      </c>
      <c r="E81" s="102" t="s">
        <v>411</v>
      </c>
      <c r="F81" s="98" t="s">
        <v>412</v>
      </c>
      <c r="G81" s="98" t="s">
        <v>344</v>
      </c>
      <c r="H81" s="103">
        <v>22313</v>
      </c>
      <c r="I81" s="103">
        <v>12933</v>
      </c>
      <c r="J81" s="81">
        <v>6309.8</v>
      </c>
      <c r="K81" s="81">
        <v>72074.4</v>
      </c>
      <c r="L81" s="81">
        <f>'Форма 1'!M147</f>
        <v>13561.99</v>
      </c>
      <c r="M81" s="81">
        <f>L81/J81*100</f>
        <v>214.9353386795144</v>
      </c>
      <c r="N81" s="81">
        <f>L81/K81*100</f>
        <v>18.81665334709689</v>
      </c>
    </row>
    <row r="82" spans="1:14" ht="15">
      <c r="A82" s="100" t="s">
        <v>18</v>
      </c>
      <c r="B82" s="100">
        <v>7</v>
      </c>
      <c r="C82" s="100"/>
      <c r="D82" s="100"/>
      <c r="E82" s="201" t="s">
        <v>413</v>
      </c>
      <c r="F82" s="201"/>
      <c r="G82" s="201"/>
      <c r="H82" s="201"/>
      <c r="I82" s="201"/>
      <c r="J82" s="201"/>
      <c r="K82" s="201"/>
      <c r="L82" s="201"/>
      <c r="M82" s="201"/>
      <c r="N82" s="201"/>
    </row>
    <row r="83" spans="1:14" ht="15">
      <c r="A83" s="100" t="s">
        <v>18</v>
      </c>
      <c r="B83" s="100">
        <v>7</v>
      </c>
      <c r="C83" s="100" t="s">
        <v>22</v>
      </c>
      <c r="D83" s="100"/>
      <c r="E83" s="102" t="s">
        <v>5</v>
      </c>
      <c r="F83" s="200"/>
      <c r="G83" s="200"/>
      <c r="H83" s="200"/>
      <c r="I83" s="200"/>
      <c r="J83" s="200"/>
      <c r="K83" s="200"/>
      <c r="L83" s="200"/>
      <c r="M83" s="200"/>
      <c r="N83" s="200"/>
    </row>
    <row r="84" spans="1:14" ht="75">
      <c r="A84" s="100" t="s">
        <v>18</v>
      </c>
      <c r="B84" s="100">
        <v>7</v>
      </c>
      <c r="C84" s="100" t="s">
        <v>22</v>
      </c>
      <c r="D84" s="100" t="s">
        <v>34</v>
      </c>
      <c r="E84" s="102" t="s">
        <v>414</v>
      </c>
      <c r="F84" s="98" t="s">
        <v>415</v>
      </c>
      <c r="G84" s="98" t="s">
        <v>335</v>
      </c>
      <c r="H84" s="103">
        <v>23</v>
      </c>
      <c r="I84" s="103">
        <v>23</v>
      </c>
      <c r="J84" s="81">
        <v>7206.2</v>
      </c>
      <c r="K84" s="81">
        <f>ROUND(47348.1*14.61%,1)-0.1</f>
        <v>6917.5</v>
      </c>
      <c r="L84" s="81">
        <f>K84/(K84+K85+K86+K87+K88+K89+K90+K91)*'Форма 1'!M164</f>
        <v>2866.859982237935</v>
      </c>
      <c r="M84" s="81">
        <f aca="true" t="shared" si="4" ref="M84:M91">L84/J84*100</f>
        <v>39.78324196161548</v>
      </c>
      <c r="N84" s="81">
        <f aca="true" t="shared" si="5" ref="N84:N91">L84/K84*100</f>
        <v>41.44358485345768</v>
      </c>
    </row>
    <row r="85" spans="1:14" ht="75">
      <c r="A85" s="100" t="s">
        <v>18</v>
      </c>
      <c r="B85" s="100">
        <v>7</v>
      </c>
      <c r="C85" s="100" t="s">
        <v>22</v>
      </c>
      <c r="D85" s="100" t="s">
        <v>34</v>
      </c>
      <c r="E85" s="102" t="s">
        <v>416</v>
      </c>
      <c r="F85" s="98" t="s">
        <v>415</v>
      </c>
      <c r="G85" s="98" t="s">
        <v>335</v>
      </c>
      <c r="H85" s="103">
        <v>23</v>
      </c>
      <c r="I85" s="103">
        <v>23</v>
      </c>
      <c r="J85" s="81">
        <v>7206.2</v>
      </c>
      <c r="K85" s="81">
        <f>ROUND(47348.1*14.61%,1)-0.1</f>
        <v>6917.5</v>
      </c>
      <c r="L85" s="81">
        <f>K85/(K85+K86+K87+K88+K89+K90+K91+K84)*'Форма 1'!M164</f>
        <v>2866.859982237935</v>
      </c>
      <c r="M85" s="81">
        <f t="shared" si="4"/>
        <v>39.78324196161548</v>
      </c>
      <c r="N85" s="81">
        <f t="shared" si="5"/>
        <v>41.44358485345768</v>
      </c>
    </row>
    <row r="86" spans="1:14" ht="150">
      <c r="A86" s="100" t="s">
        <v>18</v>
      </c>
      <c r="B86" s="100">
        <v>7</v>
      </c>
      <c r="C86" s="100" t="s">
        <v>22</v>
      </c>
      <c r="D86" s="100" t="s">
        <v>34</v>
      </c>
      <c r="E86" s="102" t="s">
        <v>417</v>
      </c>
      <c r="F86" s="98" t="s">
        <v>415</v>
      </c>
      <c r="G86" s="98" t="s">
        <v>335</v>
      </c>
      <c r="H86" s="103">
        <v>2</v>
      </c>
      <c r="I86" s="103">
        <v>2</v>
      </c>
      <c r="J86" s="81">
        <v>197.4</v>
      </c>
      <c r="K86" s="81">
        <f>ROUND(47348.1*0.39%,1)-0.1</f>
        <v>184.6</v>
      </c>
      <c r="L86" s="81">
        <f>K86/(K86+K87+K88+K89+K90+K91+K84+K85)*'Форма 1'!M164</f>
        <v>76.50485763948289</v>
      </c>
      <c r="M86" s="81">
        <f t="shared" si="4"/>
        <v>38.75626020237228</v>
      </c>
      <c r="N86" s="81">
        <f t="shared" si="5"/>
        <v>41.443584853457686</v>
      </c>
    </row>
    <row r="87" spans="1:14" ht="150">
      <c r="A87" s="100" t="s">
        <v>18</v>
      </c>
      <c r="B87" s="100">
        <v>7</v>
      </c>
      <c r="C87" s="100" t="s">
        <v>22</v>
      </c>
      <c r="D87" s="100" t="s">
        <v>34</v>
      </c>
      <c r="E87" s="102" t="s">
        <v>418</v>
      </c>
      <c r="F87" s="98" t="s">
        <v>415</v>
      </c>
      <c r="G87" s="98" t="s">
        <v>335</v>
      </c>
      <c r="H87" s="103">
        <v>2</v>
      </c>
      <c r="I87" s="103">
        <v>2</v>
      </c>
      <c r="J87" s="81">
        <v>197.4</v>
      </c>
      <c r="K87" s="81">
        <f>ROUND(47348.1*0.39%,1)</f>
        <v>184.7</v>
      </c>
      <c r="L87" s="81">
        <f>K87/(K87+K88+K89+K90+K91+K84+K85+K86)*'Форма 1'!M164</f>
        <v>76.54630122433635</v>
      </c>
      <c r="M87" s="81">
        <f t="shared" si="4"/>
        <v>38.77725492620889</v>
      </c>
      <c r="N87" s="81">
        <f t="shared" si="5"/>
        <v>41.443584853457686</v>
      </c>
    </row>
    <row r="88" spans="1:14" ht="90">
      <c r="A88" s="100" t="s">
        <v>18</v>
      </c>
      <c r="B88" s="100">
        <v>7</v>
      </c>
      <c r="C88" s="100" t="s">
        <v>22</v>
      </c>
      <c r="D88" s="100" t="s">
        <v>34</v>
      </c>
      <c r="E88" s="102" t="s">
        <v>419</v>
      </c>
      <c r="F88" s="98" t="s">
        <v>415</v>
      </c>
      <c r="G88" s="98" t="s">
        <v>335</v>
      </c>
      <c r="H88" s="103">
        <v>23</v>
      </c>
      <c r="I88" s="103">
        <v>23</v>
      </c>
      <c r="J88" s="81">
        <v>16781.6</v>
      </c>
      <c r="K88" s="81">
        <f>ROUND(47348.1*34.09%,1)</f>
        <v>16141</v>
      </c>
      <c r="L88" s="81">
        <f>K88/(K88+K89+K90+K91+K85+K86+K87+K84)*'Форма 1'!M164</f>
        <v>6689.409031196606</v>
      </c>
      <c r="M88" s="81">
        <f t="shared" si="4"/>
        <v>39.86156880867501</v>
      </c>
      <c r="N88" s="81">
        <f t="shared" si="5"/>
        <v>41.443584853457686</v>
      </c>
    </row>
    <row r="89" spans="1:14" ht="90">
      <c r="A89" s="100" t="s">
        <v>18</v>
      </c>
      <c r="B89" s="100">
        <v>7</v>
      </c>
      <c r="C89" s="100" t="s">
        <v>22</v>
      </c>
      <c r="D89" s="100" t="s">
        <v>34</v>
      </c>
      <c r="E89" s="102" t="s">
        <v>420</v>
      </c>
      <c r="F89" s="98" t="s">
        <v>415</v>
      </c>
      <c r="G89" s="98" t="s">
        <v>335</v>
      </c>
      <c r="H89" s="103">
        <v>23</v>
      </c>
      <c r="I89" s="103">
        <v>23</v>
      </c>
      <c r="J89" s="81">
        <v>16781.6</v>
      </c>
      <c r="K89" s="81">
        <f>ROUND(47348.1*34.09%,1)</f>
        <v>16141</v>
      </c>
      <c r="L89" s="81">
        <f>K89/(K89+K90+K91+K85+K86+K87+K88+K84)*'Форма 1'!M164</f>
        <v>6689.409031196605</v>
      </c>
      <c r="M89" s="81">
        <f t="shared" si="4"/>
        <v>39.86156880867501</v>
      </c>
      <c r="N89" s="81">
        <f t="shared" si="5"/>
        <v>41.44358485345768</v>
      </c>
    </row>
    <row r="90" spans="1:14" ht="75">
      <c r="A90" s="100" t="s">
        <v>18</v>
      </c>
      <c r="B90" s="100">
        <v>7</v>
      </c>
      <c r="C90" s="100" t="s">
        <v>22</v>
      </c>
      <c r="D90" s="100" t="s">
        <v>34</v>
      </c>
      <c r="E90" s="102" t="s">
        <v>421</v>
      </c>
      <c r="F90" s="98" t="s">
        <v>415</v>
      </c>
      <c r="G90" s="98" t="s">
        <v>335</v>
      </c>
      <c r="H90" s="103">
        <v>2</v>
      </c>
      <c r="I90" s="103">
        <v>2</v>
      </c>
      <c r="J90" s="81">
        <v>493.6</v>
      </c>
      <c r="K90" s="81">
        <f>ROUND(47348.1*0.91%,1)</f>
        <v>430.9</v>
      </c>
      <c r="L90" s="81">
        <f>K90/(K90+K91+K85+K86+K87+K88+K89+K84)*'Форма 1'!M164</f>
        <v>178.5804071335492</v>
      </c>
      <c r="M90" s="81">
        <f t="shared" si="4"/>
        <v>36.1791748649816</v>
      </c>
      <c r="N90" s="81">
        <f t="shared" si="5"/>
        <v>41.44358485345769</v>
      </c>
    </row>
    <row r="91" spans="1:14" ht="75">
      <c r="A91" s="100" t="s">
        <v>18</v>
      </c>
      <c r="B91" s="100">
        <v>7</v>
      </c>
      <c r="C91" s="100" t="s">
        <v>22</v>
      </c>
      <c r="D91" s="100" t="s">
        <v>34</v>
      </c>
      <c r="E91" s="102" t="s">
        <v>422</v>
      </c>
      <c r="F91" s="98" t="s">
        <v>415</v>
      </c>
      <c r="G91" s="98" t="s">
        <v>335</v>
      </c>
      <c r="H91" s="103">
        <v>2</v>
      </c>
      <c r="I91" s="103">
        <v>2</v>
      </c>
      <c r="J91" s="81">
        <v>493.6</v>
      </c>
      <c r="K91" s="81">
        <f>ROUND(47348.1*0.91%,1)</f>
        <v>430.9</v>
      </c>
      <c r="L91" s="81">
        <f>K91/(K91+K85+K86+K87+K88+K89+K90+K84)*'Форма 1'!M164</f>
        <v>178.5804071335492</v>
      </c>
      <c r="M91" s="81">
        <f t="shared" si="4"/>
        <v>36.1791748649816</v>
      </c>
      <c r="N91" s="81">
        <f t="shared" si="5"/>
        <v>41.44358485345769</v>
      </c>
    </row>
    <row r="92" spans="1:14" ht="30">
      <c r="A92" s="100" t="s">
        <v>18</v>
      </c>
      <c r="B92" s="100">
        <v>7</v>
      </c>
      <c r="C92" s="100" t="s">
        <v>23</v>
      </c>
      <c r="D92" s="100"/>
      <c r="E92" s="102" t="s">
        <v>6</v>
      </c>
      <c r="F92" s="200"/>
      <c r="G92" s="200"/>
      <c r="H92" s="200"/>
      <c r="I92" s="200"/>
      <c r="J92" s="200"/>
      <c r="K92" s="200"/>
      <c r="L92" s="200"/>
      <c r="M92" s="200"/>
      <c r="N92" s="200"/>
    </row>
    <row r="93" spans="1:14" ht="45">
      <c r="A93" s="100" t="s">
        <v>18</v>
      </c>
      <c r="B93" s="100">
        <v>7</v>
      </c>
      <c r="C93" s="100" t="s">
        <v>23</v>
      </c>
      <c r="D93" s="100" t="s">
        <v>34</v>
      </c>
      <c r="E93" s="102" t="s">
        <v>423</v>
      </c>
      <c r="F93" s="98" t="s">
        <v>359</v>
      </c>
      <c r="G93" s="98" t="s">
        <v>335</v>
      </c>
      <c r="H93" s="103">
        <v>40100</v>
      </c>
      <c r="I93" s="103">
        <v>21084</v>
      </c>
      <c r="J93" s="81">
        <v>33730.5</v>
      </c>
      <c r="K93" s="81">
        <v>34575</v>
      </c>
      <c r="L93" s="81">
        <f>'Форма 1'!M166</f>
        <v>22236.5</v>
      </c>
      <c r="M93" s="81">
        <f>L93/J93*100</f>
        <v>65.92401535702109</v>
      </c>
      <c r="N93" s="81">
        <f>L93/K93*100</f>
        <v>64.31381055676067</v>
      </c>
    </row>
    <row r="94" spans="1:14" ht="45">
      <c r="A94" s="100" t="s">
        <v>18</v>
      </c>
      <c r="B94" s="100">
        <v>7</v>
      </c>
      <c r="C94" s="100" t="s">
        <v>25</v>
      </c>
      <c r="D94" s="100"/>
      <c r="E94" s="102" t="s">
        <v>7</v>
      </c>
      <c r="F94" s="200"/>
      <c r="G94" s="200"/>
      <c r="H94" s="200"/>
      <c r="I94" s="200"/>
      <c r="J94" s="200"/>
      <c r="K94" s="200"/>
      <c r="L94" s="200"/>
      <c r="M94" s="200"/>
      <c r="N94" s="200"/>
    </row>
    <row r="95" spans="1:14" ht="30">
      <c r="A95" s="100" t="s">
        <v>18</v>
      </c>
      <c r="B95" s="100">
        <v>7</v>
      </c>
      <c r="C95" s="100" t="s">
        <v>25</v>
      </c>
      <c r="D95" s="100" t="s">
        <v>34</v>
      </c>
      <c r="E95" s="102" t="s">
        <v>424</v>
      </c>
      <c r="F95" s="98" t="s">
        <v>385</v>
      </c>
      <c r="G95" s="98" t="s">
        <v>365</v>
      </c>
      <c r="H95" s="103">
        <v>102800</v>
      </c>
      <c r="I95" s="103">
        <v>56195</v>
      </c>
      <c r="J95" s="81">
        <v>113541.6</v>
      </c>
      <c r="K95" s="81">
        <f>ROUND(174978.5*66.8%,1)</f>
        <v>116885.6</v>
      </c>
      <c r="L95" s="81">
        <f>K95/(K95+K96+K97+K98)*'Форма 1'!M168</f>
        <v>67485.93390003915</v>
      </c>
      <c r="M95" s="81">
        <f>L95/J95*100</f>
        <v>59.43718769159422</v>
      </c>
      <c r="N95" s="81">
        <f>L95/K95*100</f>
        <v>57.7367390850876</v>
      </c>
    </row>
    <row r="96" spans="1:14" ht="30">
      <c r="A96" s="100" t="s">
        <v>18</v>
      </c>
      <c r="B96" s="100">
        <v>7</v>
      </c>
      <c r="C96" s="100" t="s">
        <v>25</v>
      </c>
      <c r="D96" s="100" t="s">
        <v>34</v>
      </c>
      <c r="E96" s="102" t="s">
        <v>425</v>
      </c>
      <c r="F96" s="98" t="s">
        <v>426</v>
      </c>
      <c r="G96" s="98" t="s">
        <v>335</v>
      </c>
      <c r="H96" s="103">
        <v>41000</v>
      </c>
      <c r="I96" s="103">
        <v>19750</v>
      </c>
      <c r="J96" s="81">
        <v>31228.2</v>
      </c>
      <c r="K96" s="81">
        <f>ROUND(174978.5*19.99%,1)</f>
        <v>34978.2</v>
      </c>
      <c r="L96" s="81">
        <f>K96/(K96+K97+K98+K95)*'Форма 1'!M168</f>
        <v>20195.272070660107</v>
      </c>
      <c r="M96" s="81">
        <f>L96/J96*100</f>
        <v>64.66998440723482</v>
      </c>
      <c r="N96" s="81">
        <f>L96/K96*100</f>
        <v>57.7367390850876</v>
      </c>
    </row>
    <row r="97" spans="1:14" ht="30">
      <c r="A97" s="100" t="s">
        <v>18</v>
      </c>
      <c r="B97" s="100">
        <v>7</v>
      </c>
      <c r="C97" s="100" t="s">
        <v>25</v>
      </c>
      <c r="D97" s="100" t="s">
        <v>34</v>
      </c>
      <c r="E97" s="102" t="s">
        <v>425</v>
      </c>
      <c r="F97" s="98" t="s">
        <v>427</v>
      </c>
      <c r="G97" s="98" t="s">
        <v>335</v>
      </c>
      <c r="H97" s="103">
        <v>3256</v>
      </c>
      <c r="I97" s="103">
        <v>1893</v>
      </c>
      <c r="J97" s="81">
        <v>24948.6</v>
      </c>
      <c r="K97" s="81">
        <f>ROUND(174978.5*13.2%,1)</f>
        <v>23097.2</v>
      </c>
      <c r="L97" s="81">
        <f>K97/(K97+K98+K95+K96)*'Форма 1'!M168</f>
        <v>13335.570099960853</v>
      </c>
      <c r="M97" s="81">
        <f>L97/J97*100</f>
        <v>53.45217807797172</v>
      </c>
      <c r="N97" s="81">
        <f>L97/K97*100</f>
        <v>57.7367390850876</v>
      </c>
    </row>
    <row r="98" spans="1:14" ht="60">
      <c r="A98" s="100" t="s">
        <v>18</v>
      </c>
      <c r="B98" s="100">
        <v>7</v>
      </c>
      <c r="C98" s="100" t="s">
        <v>25</v>
      </c>
      <c r="D98" s="100" t="s">
        <v>34</v>
      </c>
      <c r="E98" s="102" t="s">
        <v>428</v>
      </c>
      <c r="F98" s="98" t="s">
        <v>355</v>
      </c>
      <c r="G98" s="98" t="s">
        <v>335</v>
      </c>
      <c r="H98" s="103">
        <v>12</v>
      </c>
      <c r="I98" s="103">
        <v>8</v>
      </c>
      <c r="J98" s="81">
        <v>27</v>
      </c>
      <c r="K98" s="81">
        <f>ROUND(174978.5*0.01%,1)</f>
        <v>17.5</v>
      </c>
      <c r="L98" s="81">
        <f>K98/(K98+K95+K96+K97)*'Форма 1'!M168</f>
        <v>10.10392933989033</v>
      </c>
      <c r="M98" s="81">
        <f>L98/J98*100</f>
        <v>37.421960518112336</v>
      </c>
      <c r="N98" s="81">
        <f>L98/K98*100</f>
        <v>57.7367390850876</v>
      </c>
    </row>
    <row r="99" spans="1:14" ht="75">
      <c r="A99" s="100" t="s">
        <v>18</v>
      </c>
      <c r="B99" s="100">
        <v>7</v>
      </c>
      <c r="C99" s="100" t="s">
        <v>521</v>
      </c>
      <c r="D99" s="100"/>
      <c r="E99" s="102" t="s">
        <v>524</v>
      </c>
      <c r="F99" s="204"/>
      <c r="G99" s="205"/>
      <c r="H99" s="205"/>
      <c r="I99" s="205"/>
      <c r="J99" s="205"/>
      <c r="K99" s="205"/>
      <c r="L99" s="205"/>
      <c r="M99" s="205"/>
      <c r="N99" s="206"/>
    </row>
    <row r="100" spans="1:14" ht="105">
      <c r="A100" s="100" t="s">
        <v>18</v>
      </c>
      <c r="B100" s="100">
        <v>7</v>
      </c>
      <c r="C100" s="100" t="s">
        <v>521</v>
      </c>
      <c r="D100" s="100" t="s">
        <v>34</v>
      </c>
      <c r="E100" s="102" t="s">
        <v>535</v>
      </c>
      <c r="F100" s="98" t="s">
        <v>536</v>
      </c>
      <c r="G100" s="98" t="s">
        <v>537</v>
      </c>
      <c r="H100" s="103">
        <v>4500</v>
      </c>
      <c r="I100" s="103">
        <v>1485</v>
      </c>
      <c r="J100" s="81">
        <v>0</v>
      </c>
      <c r="K100" s="81">
        <v>1360.8</v>
      </c>
      <c r="L100" s="81">
        <f>'Форма 1'!M183</f>
        <v>169</v>
      </c>
      <c r="M100" s="81">
        <v>0</v>
      </c>
      <c r="N100" s="81">
        <f>L100/K100*100</f>
        <v>12.419165196942975</v>
      </c>
    </row>
    <row r="102" spans="1:14" ht="15">
      <c r="A102" s="203"/>
      <c r="B102" s="203"/>
      <c r="C102" s="203"/>
      <c r="D102" s="203"/>
      <c r="E102" s="203"/>
      <c r="F102" s="203"/>
      <c r="G102" s="203"/>
      <c r="H102" s="203"/>
      <c r="I102" s="203"/>
      <c r="J102" s="203"/>
      <c r="K102" s="203"/>
      <c r="L102" s="203"/>
      <c r="M102" s="203"/>
      <c r="N102" s="203"/>
    </row>
    <row r="1431" ht="15"/>
  </sheetData>
  <sheetProtection/>
  <mergeCells count="35">
    <mergeCell ref="F99:N99"/>
    <mergeCell ref="A8:D8"/>
    <mergeCell ref="H8:I8"/>
    <mergeCell ref="J8:L8"/>
    <mergeCell ref="M8:N8"/>
    <mergeCell ref="A2:N2"/>
    <mergeCell ref="A3:N3"/>
    <mergeCell ref="A4:N4"/>
    <mergeCell ref="G8:G9"/>
    <mergeCell ref="F8:F9"/>
    <mergeCell ref="F17:N17"/>
    <mergeCell ref="E19:N19"/>
    <mergeCell ref="F26:N26"/>
    <mergeCell ref="F31:N31"/>
    <mergeCell ref="F66:N66"/>
    <mergeCell ref="F69:N69"/>
    <mergeCell ref="F34:N34"/>
    <mergeCell ref="F42:N42"/>
    <mergeCell ref="E11:N11"/>
    <mergeCell ref="F12:N12"/>
    <mergeCell ref="F36:N36"/>
    <mergeCell ref="A102:N102"/>
    <mergeCell ref="F83:N83"/>
    <mergeCell ref="F92:N92"/>
    <mergeCell ref="F94:N94"/>
    <mergeCell ref="E71:N71"/>
    <mergeCell ref="E82:N82"/>
    <mergeCell ref="F14:N14"/>
    <mergeCell ref="F72:N72"/>
    <mergeCell ref="E74:N74"/>
    <mergeCell ref="F75:N75"/>
    <mergeCell ref="E79:N79"/>
    <mergeCell ref="F80:N80"/>
    <mergeCell ref="F58:N58"/>
    <mergeCell ref="E65:N65"/>
  </mergeCells>
  <hyperlinks>
    <hyperlink ref="E79" location="P1431" display="P1431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Пименов</dc:creator>
  <cp:keywords/>
  <dc:description/>
  <cp:lastModifiedBy>Наталья Михайловна Гусева</cp:lastModifiedBy>
  <cp:lastPrinted>2019-07-24T09:54:27Z</cp:lastPrinted>
  <dcterms:created xsi:type="dcterms:W3CDTF">2016-03-18T09:56:03Z</dcterms:created>
  <dcterms:modified xsi:type="dcterms:W3CDTF">2020-02-26T05:17:58Z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